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drawings/drawing1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 xmlns:mc="http://schemas.openxmlformats.org/markup-compatibility/2006" xmlns:x15="http://schemas.microsoft.com/office/spreadsheetml/2010/11/main" mc:Ignorable="x15">
  <fileVersion appName="xl" lastEdited="3" lowestEdited="5" rupBuild="9302"/>
  <workbookPr/>
  <bookViews>
    <workbookView windowWidth="28800" windowHeight="11775" tabRatio="867" firstSheet="1"/>
  </bookViews>
  <sheets>
    <sheet name="Япония, VW, Volvo, Ford" sheetId="1" r:id="rId1"/>
    <sheet name="Электромобили" sheetId="2" r:id="rId2"/>
    <sheet name="AITO" sheetId="3" r:id="rId3"/>
    <sheet name="Тюнинг и реплики" sheetId="15" r:id="rId4"/>
    <sheet name="BMW" sheetId="4" r:id="rId5"/>
    <sheet name="Mercedes" sheetId="5" r:id="rId6"/>
    <sheet name="Audi" sheetId="6" r:id="rId7"/>
    <sheet name="Porsche" sheetId="7" r:id="rId8"/>
    <sheet name="Land Rover" sheetId="8" r:id="rId9"/>
    <sheet name="Maserati" sheetId="9" r:id="rId10"/>
    <sheet name="Cadillac" sheetId="10" r:id="rId11"/>
    <sheet name="Jaguar" sheetId="11" r:id="rId12"/>
    <sheet name="Ferrari" sheetId="13" r:id="rId13"/>
    <sheet name="Bentley" sheetId="12" r:id="rId14"/>
    <sheet name="Rolls-Royce" sheetId="14" r:id="rId15"/>
    <sheet name="Внедорожники" sheetId="16" r:id="rId16"/>
    <sheet name="Справочник цветов" sheetId="22" r:id="rId17"/>
  </sheets>
  <definedNames>
    <definedName name="_xlnm._FilterDatabase" localSheetId="0" hidden="1">'日系丨 传祺丨沃尔沃丨林肯丨福特丨别克丨红旗丨大众'!$A$2:$J$158</definedName>
    <definedName name="_xlnm._FilterDatabase" localSheetId="1" hidden="1">'新能源 岚图腾势魏派小米极氪理想蔚莱特斯拉'!$A$2:$J$186</definedName>
    <definedName name="_xlnm._FilterDatabase" localSheetId="2" hidden="1">问界!$A$2:$J$97</definedName>
    <definedName name="_xlnm._FilterDatabase" localSheetId="3" hidden="1">改装款!$A$2:$J$183</definedName>
    <definedName name="_xlnm._FilterDatabase" localSheetId="4" hidden="1">宝马!$A$2:$J$388</definedName>
    <definedName name="_xlnm._FilterDatabase" localSheetId="5" hidden="1">奔驰!$A$2:$J$360</definedName>
    <definedName name="_xlnm._FilterDatabase" localSheetId="6" hidden="1">奥迪!$A$2:$J$131</definedName>
    <definedName name="_xlnm._FilterDatabase" localSheetId="7" hidden="1">保时捷!$A$2:$J$166</definedName>
    <definedName name="_xlnm._FilterDatabase" localSheetId="8" hidden="1">路虎!$A$2:$K$173</definedName>
    <definedName name="_xlnm._FilterDatabase" localSheetId="9" hidden="1">玛莎拉蒂!$A$2:$J$42</definedName>
    <definedName name="_xlnm._FilterDatabase" localSheetId="10" hidden="1">凯迪拉克!$A$2:$J$33</definedName>
    <definedName name="_xlnm._FilterDatabase" localSheetId="11" hidden="1">捷豹!$A$2:$J$13</definedName>
    <definedName name="_xlnm._FilterDatabase" localSheetId="12" hidden="1">法拉利!$A$2:$J$4</definedName>
    <definedName name="_xlnm._FilterDatabase" localSheetId="13" hidden="1">宾利!$A$2:$J$14</definedName>
    <definedName name="_xlnm._FilterDatabase" localSheetId="14" hidden="1">劳斯莱斯!$A$2:$J$14</definedName>
    <definedName name="_xlnm._FilterDatabase" localSheetId="15" hidden="1">越野!$A$2:$J$49</definedName>
    <definedName name="_xlnm.Print_Area" localSheetId="15">越野!$A$1:$J$49</definedName>
    <definedName name="_xlnm.Print_Area" localSheetId="9">玛莎拉蒂!$A$2:$J$42</definedName>
    <definedName name="_xlnm.Print_Area" localSheetId="1">'新能源 岚图腾势魏派小米极氪理想蔚莱特斯拉'!$A$1:$J$186</definedName>
    <definedName name="_xlnm.Print_Area" localSheetId="3">改装款!$A$1:$J$183</definedName>
    <definedName name="_xlnm.Print_Area" localSheetId="5">奔驰!$A$1:$J$191</definedName>
    <definedName name="_xlnm.Print_Area" localSheetId="4">宝马!$A$2:$J$388</definedName>
    <definedName name="_xlnm.Print_Area" localSheetId="0">'日系丨 传祺丨沃尔沃丨林肯丨福特丨别克丨红旗丨大众'!$A$1:$J$158</definedName>
    <definedName name="_xlnm.Print_Area" localSheetId="2">问界!$A$1:$J$97</definedName>
    <definedName name="_xlnm.Print_Area" localSheetId="6">奥迪!$A$2:$J$131</definedName>
    <definedName name="_xlnm.Print_Area" localSheetId="7">保时捷!$A$2:$J$166</definedName>
    <definedName name="_xlnm.Print_Area" localSheetId="8">路虎!$A$2:$K$173</definedName>
    <definedName name="_xlnm.Print_Area" localSheetId="10">凯迪拉克!$A$2:$J$36</definedName>
    <definedName name="_xlnm.Print_Area" localSheetId="11">捷豹!$A$1:$J$14</definedName>
    <definedName name="_xlnm.Print_Area" localSheetId="13">宾利!$A$2:$J$14</definedName>
    <definedName name="_xlnm.Print_Area" localSheetId="12">法拉利!$A$1:$J$4</definedName>
    <definedName name="_xlnm.Print_Area" localSheetId="14">劳斯莱斯!$A$2:$J$14</definedName>
    <definedName name="_xlnm.Print_Titles" localSheetId="0">'日系丨 传祺丨沃尔沃丨林肯丨福特丨别克丨红旗丨大众'!$1:$2</definedName>
    <definedName name="_xlnm.Print_Titles" localSheetId="1">'新能源 岚图腾势魏派小米极氪理想蔚莱特斯拉'!$1:$2</definedName>
    <definedName name="_xlnm.Print_Titles" localSheetId="3">改装款!$1:$2</definedName>
  </definedNames>
  <calcPr calcId="191029" concurrentCalc="0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4157" name="ID_AD4DCDF404C24695ABF9FA95573FE683"/>
        <xdr:cNvPicPr>
          <a:picLocks noChangeAspect="1"/>
        </xdr:cNvPicPr>
      </xdr:nvPicPr>
      <xdr:blipFill>
        <a:blip r:embed="rId1">
          <a:lum/>
        </a:blip>
        <a:stretch>
          <a:fillRect/>
        </a:stretch>
      </xdr:blipFill>
      <xdr:spPr>
        <a:xfrm>
          <a:off x="114300" y="33315910"/>
          <a:ext cx="1390650" cy="129540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<sst xmlns="http://schemas.openxmlformats.org/spreadsheetml/2006/main" count="10484" uniqueCount="2218">
  <si>
    <t xml:space="preserve">Фото</t>
  </si>
  <si>
    <t xml:space="preserve">Артикул</t>
  </si>
  <si>
    <t xml:space="preserve">Модель авто</t>
  </si>
  <si>
    <t xml:space="preserve">Размер (диаметр*ширина)</t>
  </si>
  <si>
    <t>PCD</t>
  </si>
  <si>
    <t>ET</t>
  </si>
  <si>
    <t xml:space="preserve">ЦО (CB)</t>
  </si>
  <si>
    <t xml:space="preserve">Цвет</t>
  </si>
  <si>
    <t xml:space="preserve">Цвет (англ.)</t>
  </si>
  <si>
    <t xml:space="preserve">Кол-во, компл.</t>
  </si>
  <si>
    <t>WT-RGW2216</t>
  </si>
  <si>
    <t xml:space="preserve">GAC M8</t>
  </si>
  <si>
    <t>18*8</t>
  </si>
  <si>
    <t>5*120</t>
  </si>
  <si>
    <t xml:space="preserve">чёрный хром</t>
  </si>
  <si>
    <t>WT-RGW2216-1</t>
  </si>
  <si>
    <t xml:space="preserve">чёрный глянец</t>
  </si>
  <si>
    <t>WT-RGW2279-2</t>
  </si>
  <si>
    <t xml:space="preserve">Volvo</t>
  </si>
  <si>
    <t>20*9</t>
  </si>
  <si>
    <t>5*108</t>
  </si>
  <si>
    <t xml:space="preserve">чёрный + проточка</t>
  </si>
  <si>
    <t>WT-RGW0187</t>
  </si>
  <si>
    <t>19*8.5</t>
  </si>
  <si>
    <t>WT-RGW0187-1</t>
  </si>
  <si>
    <t>WT-RGW2020</t>
  </si>
  <si>
    <t xml:space="preserve">чёрный глянец + полировка</t>
  </si>
  <si>
    <t>WT-RGW2020-1</t>
  </si>
  <si>
    <t>WT-RGW2020-2</t>
  </si>
  <si>
    <t>20*8.5</t>
  </si>
  <si>
    <t>WT-RGW2020-3</t>
  </si>
  <si>
    <t>21*9</t>
  </si>
  <si>
    <t>WT-RGW4001</t>
  </si>
  <si>
    <t xml:space="preserve">Lincoln Navigator</t>
  </si>
  <si>
    <t>22*9.5</t>
  </si>
  <si>
    <t>6*135</t>
  </si>
  <si>
    <t xml:space="preserve">чёрный + проточка</t>
  </si>
  <si>
    <t>WT-XRGW777</t>
  </si>
  <si>
    <t xml:space="preserve">Lincoln Aviator</t>
  </si>
  <si>
    <t>21*9.5</t>
  </si>
  <si>
    <t>5*114.3</t>
  </si>
  <si>
    <t>WT-RGW777-1</t>
  </si>
  <si>
    <t>WT-RGW2211</t>
  </si>
  <si>
    <t xml:space="preserve">Ford Tourneo</t>
  </si>
  <si>
    <t>19*8</t>
  </si>
  <si>
    <t>5*160</t>
  </si>
  <si>
    <t>WT-RGW2212</t>
  </si>
  <si>
    <t>WT-FTRGW2213-1</t>
  </si>
  <si>
    <t>Black Electroplate</t>
  </si>
  <si>
    <t>WT-FTRGW2213</t>
  </si>
  <si>
    <t>WT-RGW2017</t>
  </si>
  <si>
    <t xml:space="preserve">Toyota Land Cruiser 300</t>
  </si>
  <si>
    <t>6*139.7</t>
  </si>
  <si>
    <t xml:space="preserve">полировка</t>
  </si>
  <si>
    <t>WT-RGW2018</t>
  </si>
  <si>
    <t>WT-RGW2018-1</t>
  </si>
  <si>
    <t>22*9</t>
  </si>
  <si>
    <t>WT-RGW0324-3</t>
  </si>
  <si>
    <t>18*8.5</t>
  </si>
  <si>
    <t xml:space="preserve">чёрный хайпер</t>
  </si>
  <si>
    <t>WT-RGW0324</t>
  </si>
  <si>
    <t xml:space="preserve">серебро хром с белым отливом</t>
  </si>
  <si>
    <t>WT-RGW0324-4</t>
  </si>
  <si>
    <t>WT-RGW0324-1</t>
  </si>
  <si>
    <t>WT-RGW0324-2</t>
  </si>
  <si>
    <t xml:space="preserve">Toyota Land Cruiser</t>
  </si>
  <si>
    <t>5*150</t>
  </si>
  <si>
    <t xml:space="preserve">серебро хром</t>
  </si>
  <si>
    <t>WT-RGW2238</t>
  </si>
  <si>
    <t xml:space="preserve">графит</t>
  </si>
  <si>
    <t>WT-LZ007</t>
  </si>
  <si>
    <t xml:space="preserve">Lexus LS</t>
  </si>
  <si>
    <t>WT-LZ007-1</t>
  </si>
  <si>
    <t>WT-RGW0181</t>
  </si>
  <si>
    <t xml:space="preserve">Lexus ES</t>
  </si>
  <si>
    <t>WT-RGW0181-1</t>
  </si>
  <si>
    <t>WT-RGW0182</t>
  </si>
  <si>
    <t>WT-RGW0182-1</t>
  </si>
  <si>
    <t>WT-RGW0255</t>
  </si>
  <si>
    <t xml:space="preserve">Lexus RX</t>
  </si>
  <si>
    <t>WT-RGW0255-1</t>
  </si>
  <si>
    <t>WT-RGW989-1</t>
  </si>
  <si>
    <t xml:space="preserve">Lexus LX</t>
  </si>
  <si>
    <t>WT-RGW989-2</t>
  </si>
  <si>
    <t xml:space="preserve"> WT-RGW990</t>
  </si>
  <si>
    <t>WT-RGW990-1</t>
  </si>
  <si>
    <t>WT-RGW990-2</t>
  </si>
  <si>
    <t xml:space="preserve">графит + проточка</t>
  </si>
  <si>
    <t>WT-RGW1132-2</t>
  </si>
  <si>
    <t xml:space="preserve">Toyota Land Cruiser Prado</t>
  </si>
  <si>
    <t>WT-RGW1132-3</t>
  </si>
  <si>
    <t>WT-RGW1132</t>
  </si>
  <si>
    <t>WT-RGW1132-1</t>
  </si>
  <si>
    <t>WT-RGW1877-7</t>
  </si>
  <si>
    <t>WT-RGW1877-8</t>
  </si>
  <si>
    <t>WT-RGW1877-2</t>
  </si>
  <si>
    <t>WT-RGW1877-6</t>
  </si>
  <si>
    <t>GVI-TYT01B</t>
  </si>
  <si>
    <t>WT-RGW1877-3</t>
  </si>
  <si>
    <t>WT-RGW1877-4</t>
  </si>
  <si>
    <t>WT-RGW1877-1</t>
  </si>
  <si>
    <t>21*8.5</t>
  </si>
  <si>
    <t xml:space="preserve">чёрный мат</t>
  </si>
  <si>
    <t>WT-RGW1877-0</t>
  </si>
  <si>
    <t>WT-RGW1877</t>
  </si>
  <si>
    <t>WT-LH1877</t>
  </si>
  <si>
    <t>WT-RGW2293</t>
  </si>
  <si>
    <t xml:space="preserve">Toyota</t>
  </si>
  <si>
    <t>19*8.0</t>
  </si>
  <si>
    <t>WT-LH1883</t>
  </si>
  <si>
    <t>WT-RGW1015-1</t>
  </si>
  <si>
    <t>WT-RGW1015-2</t>
  </si>
  <si>
    <t>WT-RGW070</t>
  </si>
  <si>
    <t>WT-RGW5275-1</t>
  </si>
  <si>
    <t>WT-RGW254048</t>
  </si>
  <si>
    <t xml:space="preserve">Toyota Alphard</t>
  </si>
  <si>
    <t>WT-RGW341</t>
  </si>
  <si>
    <t>WT-RGW341-1</t>
  </si>
  <si>
    <t>WT-FTRGW341</t>
  </si>
  <si>
    <t xml:space="preserve">Toyota Alphard</t>
  </si>
  <si>
    <t>WT-FTRGW341-1</t>
  </si>
  <si>
    <t>WT-RGW240379</t>
  </si>
  <si>
    <t>WT-RGW2269</t>
  </si>
  <si>
    <t>WT-TRGW2002-1</t>
  </si>
  <si>
    <t>WT-TRGW2002</t>
  </si>
  <si>
    <t>WT-RGW19939-15</t>
  </si>
  <si>
    <t>WT-RGW19939-14</t>
  </si>
  <si>
    <t>WT-RGW19939-16</t>
  </si>
  <si>
    <t>17*7.5</t>
  </si>
  <si>
    <t>WT-RGW19939-8</t>
  </si>
  <si>
    <t xml:space="preserve"> </t>
  </si>
  <si>
    <t>WT-RGW19939-10</t>
  </si>
  <si>
    <t>WT-RGW19939-2</t>
  </si>
  <si>
    <t>WT-RGW19939-4</t>
  </si>
  <si>
    <t>WT-RGW2556-7</t>
  </si>
  <si>
    <t>WT-RGW2556-8</t>
  </si>
  <si>
    <t>WT-RGW2556-1</t>
  </si>
  <si>
    <t>WT-RGW2556</t>
  </si>
  <si>
    <t>WT-RGW2556-2</t>
  </si>
  <si>
    <t>WT-ARF07</t>
  </si>
  <si>
    <t>WT-ARF08</t>
  </si>
  <si>
    <t>WT-ARF09</t>
  </si>
  <si>
    <t>WT-FSK9165-0</t>
  </si>
  <si>
    <t>WT-FSK9165-1</t>
  </si>
  <si>
    <t>WT-FSK9165-2</t>
  </si>
  <si>
    <t>WT-FSK9165-3</t>
  </si>
  <si>
    <t>WT-FSK9165-4</t>
  </si>
  <si>
    <t>WT-FSK9162-1</t>
  </si>
  <si>
    <t xml:space="preserve">Golden Phoenix</t>
  </si>
  <si>
    <t>WT-FSK9162-2</t>
  </si>
  <si>
    <t>WT-FSK9162-3</t>
  </si>
  <si>
    <t xml:space="preserve">белый хром</t>
  </si>
  <si>
    <t>WT-TX270</t>
  </si>
  <si>
    <t xml:space="preserve">Black Swan</t>
  </si>
  <si>
    <t>WT-XT077</t>
  </si>
  <si>
    <t>30/35</t>
  </si>
  <si>
    <t xml:space="preserve">белый хром</t>
  </si>
  <si>
    <t>WT-RGW2201</t>
  </si>
  <si>
    <t xml:space="preserve">Toyota Sienna</t>
  </si>
  <si>
    <t xml:space="preserve">чёрный мат</t>
  </si>
  <si>
    <t>WT-RGW2201-1</t>
  </si>
  <si>
    <t>WT-RGW2556-4</t>
  </si>
  <si>
    <t xml:space="preserve">Toyota Hiace</t>
  </si>
  <si>
    <t>16*7</t>
  </si>
  <si>
    <t>6*130</t>
  </si>
  <si>
    <t>WT-RGW2556-6</t>
  </si>
  <si>
    <t>WT-RGW16</t>
  </si>
  <si>
    <t>WT-RGW16-1</t>
  </si>
  <si>
    <t>WT-RGW19939-6</t>
  </si>
  <si>
    <t>WT-RGW19939-7</t>
  </si>
  <si>
    <t>WT-RGW2203</t>
  </si>
  <si>
    <t>WT-RGW2203-1</t>
  </si>
  <si>
    <t>WT-RGW2313-1</t>
  </si>
  <si>
    <t xml:space="preserve">Nissan Patrol</t>
  </si>
  <si>
    <t>WT-RGW2313-2</t>
  </si>
  <si>
    <t>WT-RGW1061</t>
  </si>
  <si>
    <t>WT-RGW623-1</t>
  </si>
  <si>
    <t>WT-RGW623-2</t>
  </si>
  <si>
    <t>22*8.5</t>
  </si>
  <si>
    <t>WT-RGW723</t>
  </si>
  <si>
    <t>WT-RGW723-1</t>
  </si>
  <si>
    <t>WT-RGW399-1</t>
  </si>
  <si>
    <t xml:space="preserve">Buick GL8</t>
  </si>
  <si>
    <t>WT-RGW399-2</t>
  </si>
  <si>
    <t>WT-RGW399-3</t>
  </si>
  <si>
    <t xml:space="preserve">Buick Century</t>
  </si>
  <si>
    <t>18*7.5</t>
  </si>
  <si>
    <r>
      <rPr>
        <b/>
        <sz val="11"/>
        <color indexed="10"/>
        <rFont val="宋体"/>
        <charset val="134"/>
      </rPr>
      <t>6</t>
    </r>
    <r>
      <rPr>
        <b/>
        <sz val="11"/>
        <color indexed="8"/>
        <rFont val="宋体"/>
        <charset val="134"/>
      </rPr>
      <t>*120</t>
    </r>
  </si>
  <si>
    <t>WT-RGW399-0</t>
  </si>
  <si>
    <t>WT-RGW399-4</t>
  </si>
  <si>
    <t>20*8</t>
  </si>
  <si>
    <t>WT-RGWDZ1826</t>
  </si>
  <si>
    <t>WT-RGW1826-6</t>
  </si>
  <si>
    <t>WT-RGW1826-3</t>
  </si>
  <si>
    <t>WT-2204251</t>
  </si>
  <si>
    <t>WT-2204252</t>
  </si>
  <si>
    <t>WT-RGW036</t>
  </si>
  <si>
    <t xml:space="preserve">полировка</t>
  </si>
  <si>
    <t>WT-RGW036-1</t>
  </si>
  <si>
    <t>WT-RGW2272</t>
  </si>
  <si>
    <t xml:space="preserve">Hongqi H9</t>
  </si>
  <si>
    <t>WT-RGW2227</t>
  </si>
  <si>
    <t>WT-RGW5309-2</t>
  </si>
  <si>
    <t>WT-RGW5309-1</t>
  </si>
  <si>
    <t>WT-RGW9185</t>
  </si>
  <si>
    <t>WT-RGW9185-1</t>
  </si>
  <si>
    <t>WT-RGW007</t>
  </si>
  <si>
    <t xml:space="preserve">Hongqi HQ9</t>
  </si>
  <si>
    <t>5*112</t>
  </si>
  <si>
    <t>WT-RGW007-1</t>
  </si>
  <si>
    <t>WT-RGW007-2</t>
  </si>
  <si>
    <t>WT-TRGW006</t>
  </si>
  <si>
    <t>WT-TRGW006-3</t>
  </si>
  <si>
    <t>WT-TRGW1859-11</t>
  </si>
  <si>
    <t>WT-TRGW1859-2</t>
  </si>
  <si>
    <t>WT-TRGW1859-3</t>
  </si>
  <si>
    <t>WT-WRGW2247-3</t>
  </si>
  <si>
    <t xml:space="preserve">Hongqi HS9</t>
  </si>
  <si>
    <t>5*130</t>
  </si>
  <si>
    <t>WT-RGW1060-6</t>
  </si>
  <si>
    <t xml:space="preserve">Volkswagen Touareg</t>
  </si>
  <si>
    <t>WT-RGW1060-5</t>
  </si>
  <si>
    <t>WT-RGW1060-3</t>
  </si>
  <si>
    <t>WT-RGW1060-2</t>
  </si>
  <si>
    <t xml:space="preserve">Volkswagen Touareg (пред. поколение)</t>
  </si>
  <si>
    <t>20*9.5</t>
  </si>
  <si>
    <t>WT-RGW1060</t>
  </si>
  <si>
    <t>WT-RGW1060-1</t>
  </si>
  <si>
    <t>WT-RGW1060-4</t>
  </si>
  <si>
    <t>WT-RGW1913-2</t>
  </si>
  <si>
    <t xml:space="preserve">Volkswagen Phaeton</t>
  </si>
  <si>
    <t>WT-RGW1912-1</t>
  </si>
  <si>
    <t xml:space="preserve">Volkswagen Teramont</t>
  </si>
  <si>
    <t>WT-RGW2559</t>
  </si>
  <si>
    <t xml:space="preserve">Volkswagen Golf</t>
  </si>
  <si>
    <t>WT-RGW2559-1</t>
  </si>
  <si>
    <t>WT-RGW2558</t>
  </si>
  <si>
    <t xml:space="preserve">Volkswagen Passat</t>
  </si>
  <si>
    <t xml:space="preserve">серебро с мелким блеском</t>
  </si>
  <si>
    <t>WT-RGW2558-3</t>
  </si>
  <si>
    <t>WT-RGW2558-1</t>
  </si>
  <si>
    <t>WT-RGW2558-2</t>
  </si>
  <si>
    <t>WT-RGW2228</t>
  </si>
  <si>
    <t xml:space="preserve">Volkswagen</t>
  </si>
  <si>
    <t>35/36</t>
  </si>
  <si>
    <t>WT-RGW2228-1</t>
  </si>
  <si>
    <t>WT-RGW2263</t>
  </si>
  <si>
    <t xml:space="preserve">Применимость</t>
  </si>
  <si>
    <t>WT-RGW254180</t>
  </si>
  <si>
    <t xml:space="preserve">Onvo L60</t>
  </si>
  <si>
    <t>20*8.5/9.5</t>
  </si>
  <si>
    <t>5*115</t>
  </si>
  <si>
    <t>35/40</t>
  </si>
  <si>
    <t>WT-RGW2302-1</t>
  </si>
  <si>
    <t>WT-RGW2302-2</t>
  </si>
  <si>
    <t>WT-RGW2302-3</t>
  </si>
  <si>
    <t>WT-RGW783-1</t>
  </si>
  <si>
    <t xml:space="preserve">WEY Taishan</t>
  </si>
  <si>
    <t>WT-RGW783</t>
  </si>
  <si>
    <t>WT-RGW2357-1</t>
  </si>
  <si>
    <t xml:space="preserve">Denza</t>
  </si>
  <si>
    <t>WT-RGW2271-1</t>
  </si>
  <si>
    <t xml:space="preserve">Denza D9</t>
  </si>
  <si>
    <t>WT-RGW2271-2</t>
  </si>
  <si>
    <t>WT-RGW2354-1</t>
  </si>
  <si>
    <t xml:space="preserve">XPeng X9</t>
  </si>
  <si>
    <t>WT-RGW234</t>
  </si>
  <si>
    <t xml:space="preserve">XPeng P7</t>
  </si>
  <si>
    <t xml:space="preserve">чёрный + белый</t>
  </si>
  <si>
    <t>WT-RGW2321-1</t>
  </si>
  <si>
    <t xml:space="preserve">Avatr</t>
  </si>
  <si>
    <t xml:space="preserve">чёрный глянец + полировка</t>
  </si>
  <si>
    <t>polish</t>
  </si>
  <si>
    <t>WT-RGW2512-1</t>
  </si>
  <si>
    <t xml:space="preserve">чёрный глянец + полировка</t>
  </si>
  <si>
    <t>WT-RGW2512</t>
  </si>
  <si>
    <t>WT-RGW2327</t>
  </si>
  <si>
    <t xml:space="preserve">WEY Gaoshan</t>
  </si>
  <si>
    <t>WT-RGW2327-1</t>
  </si>
  <si>
    <t>WT-RGW2319</t>
  </si>
  <si>
    <t>Black Machine Face</t>
  </si>
  <si>
    <t>WT-RGW2319-1</t>
  </si>
  <si>
    <t>WT-TRGW1827-2</t>
  </si>
  <si>
    <t xml:space="preserve">WEY Blue Mountain</t>
  </si>
  <si>
    <t>WT-TRGW1827-1</t>
  </si>
  <si>
    <t>WT-TRGW1827</t>
  </si>
  <si>
    <t>WT-RGW2281-1</t>
  </si>
  <si>
    <t xml:space="preserve">Xiaomi SU7 Ultra</t>
  </si>
  <si>
    <t xml:space="preserve">бронза мат</t>
  </si>
  <si>
    <t>WT-RGW2281-2</t>
  </si>
  <si>
    <t>WT-RGW2281-3</t>
  </si>
  <si>
    <t>WT-RGW2281-4</t>
  </si>
  <si>
    <t>WT-RGW2264</t>
  </si>
  <si>
    <t xml:space="preserve">Xiaomi SU7</t>
  </si>
  <si>
    <t>WT-RGW2264-1</t>
  </si>
  <si>
    <t>WT-RGW2264-2</t>
  </si>
  <si>
    <t>WT-RGW2264-3</t>
  </si>
  <si>
    <t>WT-RGW2264-4</t>
  </si>
  <si>
    <t>WT-RGW2282-1</t>
  </si>
  <si>
    <t>WT-RGW2282-2</t>
  </si>
  <si>
    <t>WT-RGW2282-3</t>
  </si>
  <si>
    <t>WT-RGW2282-4</t>
  </si>
  <si>
    <t>WT-RGW2265</t>
  </si>
  <si>
    <t>WT-RGW2247-1</t>
  </si>
  <si>
    <t>WT-RGW2247-2</t>
  </si>
  <si>
    <t>WT-RGW2247-3</t>
  </si>
  <si>
    <t>WT-RGW2246-1</t>
  </si>
  <si>
    <t>WT-RGW2246-2</t>
  </si>
  <si>
    <t>WT-RGW2246-3</t>
  </si>
  <si>
    <t>WT-RGW2338-1</t>
  </si>
  <si>
    <t xml:space="preserve">Xiaomi YU7</t>
  </si>
  <si>
    <t>MATTE GREY</t>
  </si>
  <si>
    <t>WT-RGW2338-2</t>
  </si>
  <si>
    <t>WT-RGW2338-2A</t>
  </si>
  <si>
    <t>WT-RGW2338-3</t>
  </si>
  <si>
    <t>WT-RGW2338-4</t>
  </si>
  <si>
    <t>WT-RGW2326</t>
  </si>
  <si>
    <t xml:space="preserve">графит мат</t>
  </si>
  <si>
    <t>WT-RGW2326-1</t>
  </si>
  <si>
    <t>21*8</t>
  </si>
  <si>
    <t>WT-RGW2326-2</t>
  </si>
  <si>
    <t>WT-RGW2297</t>
  </si>
  <si>
    <t xml:space="preserve">чёрный глянец + полированный обод</t>
  </si>
  <si>
    <t>WT-RGW2297-1</t>
  </si>
  <si>
    <t xml:space="preserve">графит + полированный обод</t>
  </si>
  <si>
    <t>WT-RGW2297-4</t>
  </si>
  <si>
    <t>WT-RGW2297-5</t>
  </si>
  <si>
    <t>WT-RGW2297-2</t>
  </si>
  <si>
    <t>WT-RGW2297-3</t>
  </si>
  <si>
    <t>WT-RGW2298</t>
  </si>
  <si>
    <t xml:space="preserve">чёрный + полировка</t>
  </si>
  <si>
    <t>WT-RGW2298-1</t>
  </si>
  <si>
    <t>WT-RGW2298-2</t>
  </si>
  <si>
    <t>WT-RGW2305-1</t>
  </si>
  <si>
    <t>WT-RGW2306-1</t>
  </si>
  <si>
    <t>WT-RGW2225</t>
  </si>
  <si>
    <t xml:space="preserve">ZEEKR 9X</t>
  </si>
  <si>
    <t>WT-RGW2225-1</t>
  </si>
  <si>
    <t>WT-RGW2341-1</t>
  </si>
  <si>
    <t xml:space="preserve">чёрный глянец + полировка (лев./прав.)</t>
  </si>
  <si>
    <t>WT-RGW2323-1</t>
  </si>
  <si>
    <t>WT-RGW2310-1</t>
  </si>
  <si>
    <t>WT-RGW2310-2</t>
  </si>
  <si>
    <t>22*10</t>
  </si>
  <si>
    <t>WT-RGW2310-3</t>
  </si>
  <si>
    <t>22*9.5/10</t>
  </si>
  <si>
    <t>WT-RGW2329-1</t>
  </si>
  <si>
    <t xml:space="preserve">полировка + лазерная гравировка</t>
  </si>
  <si>
    <t>WT-RGW2231-2</t>
  </si>
  <si>
    <t xml:space="preserve">ZEEKR 009</t>
  </si>
  <si>
    <t>WT-RGW2231-4</t>
  </si>
  <si>
    <t>WT-RGW2231-3</t>
  </si>
  <si>
    <t>WT-RGW2231-1</t>
  </si>
  <si>
    <t>WT-RGW009</t>
  </si>
  <si>
    <t xml:space="preserve">ZEEKR 001</t>
  </si>
  <si>
    <t xml:space="preserve">чёрный глянец + белый</t>
  </si>
  <si>
    <t>WT-RGW009-1</t>
  </si>
  <si>
    <t>WT-CTRGW669</t>
  </si>
  <si>
    <t>WT-RGW2016</t>
  </si>
  <si>
    <t xml:space="preserve">серебро шлифовка</t>
  </si>
  <si>
    <t>WT-RGW2016-2</t>
  </si>
  <si>
    <t>WT-RGW2016-1</t>
  </si>
  <si>
    <t>WT-RGW006-1</t>
  </si>
  <si>
    <t>WT-RGW006-2</t>
  </si>
  <si>
    <t xml:space="preserve">бронза + проточка</t>
  </si>
  <si>
    <t>WT-RGW006-3</t>
  </si>
  <si>
    <t>WT-RGW006-4</t>
  </si>
  <si>
    <t xml:space="preserve">бронза мат + проточка</t>
  </si>
  <si>
    <t>WT-RGW004-1</t>
  </si>
  <si>
    <t>WT-RGW004-2</t>
  </si>
  <si>
    <t>35/38</t>
  </si>
  <si>
    <t>WT-RGW005</t>
  </si>
  <si>
    <t>WT-RGW005-1</t>
  </si>
  <si>
    <t>WT-RGW008</t>
  </si>
  <si>
    <t>WT-RGW008-1</t>
  </si>
  <si>
    <t>WT-RGW2344</t>
  </si>
  <si>
    <t xml:space="preserve">Li Auto L9</t>
  </si>
  <si>
    <t>WT-RGW2344-1</t>
  </si>
  <si>
    <t>WT-RGW2307-1</t>
  </si>
  <si>
    <t>WT-RGW2288</t>
  </si>
  <si>
    <t>WT-RGW0176</t>
  </si>
  <si>
    <t>WT-ZTRGW494</t>
  </si>
  <si>
    <t>WT-RGW333-1</t>
  </si>
  <si>
    <t>62.56</t>
  </si>
  <si>
    <t>WT-TRGW212-37</t>
  </si>
  <si>
    <t>WT-RGW2266-1</t>
  </si>
  <si>
    <t>WT-RGW2041</t>
  </si>
  <si>
    <t>WT-TRGW392</t>
  </si>
  <si>
    <t>WT-RGW2013</t>
  </si>
  <si>
    <t>WT-RGW2013-1</t>
  </si>
  <si>
    <t>WT-RGW2210</t>
  </si>
  <si>
    <t xml:space="preserve">графит мат</t>
  </si>
  <si>
    <t>WT-RGW2210-1</t>
  </si>
  <si>
    <t xml:space="preserve">графит мат + проточка</t>
  </si>
  <si>
    <t>WT-RGW227</t>
  </si>
  <si>
    <t>WT-RGW227-2</t>
  </si>
  <si>
    <t>WT-RGW227-1</t>
  </si>
  <si>
    <t>WT-RGW229</t>
  </si>
  <si>
    <t>WT-RGW229-1</t>
  </si>
  <si>
    <t>WT-RGW229-2</t>
  </si>
  <si>
    <t>WT-RGW2021</t>
  </si>
  <si>
    <t>WT-RGW2021-2</t>
  </si>
  <si>
    <t>WT-RGW221</t>
  </si>
  <si>
    <t>WT-TRGW228</t>
  </si>
  <si>
    <t>WT-TRGW228-1</t>
  </si>
  <si>
    <t>WT-TRGW228-3</t>
  </si>
  <si>
    <t>WT-TRGW228-2</t>
  </si>
  <si>
    <t>WT-RGW222</t>
  </si>
  <si>
    <t>30/38</t>
  </si>
  <si>
    <t>WT-RGW222-1</t>
  </si>
  <si>
    <t>WT-RGW222-2</t>
  </si>
  <si>
    <t>WT-RGW223</t>
  </si>
  <si>
    <t>WT-RGW223-1</t>
  </si>
  <si>
    <t>WT-RGW223-3</t>
  </si>
  <si>
    <t>WT-RGW223-2</t>
  </si>
  <si>
    <t>WT-TRGW225</t>
  </si>
  <si>
    <t>WT-TRGW225-1</t>
  </si>
  <si>
    <t>WT-TRGW225-2</t>
  </si>
  <si>
    <t>WT-RGW2345-1</t>
  </si>
  <si>
    <t xml:space="preserve">NIO ES9</t>
  </si>
  <si>
    <t>WT-RGW2347A</t>
  </si>
  <si>
    <t>WT-RGW2347</t>
  </si>
  <si>
    <t xml:space="preserve">графит глянец + полировка</t>
  </si>
  <si>
    <t>WT-RGW2347-2</t>
  </si>
  <si>
    <t xml:space="preserve">чёрный + проточка под лаком</t>
  </si>
  <si>
    <t>WT-RGW2347-4</t>
  </si>
  <si>
    <t xml:space="preserve">  </t>
  </si>
  <si>
    <t>WT-RGW2347-1</t>
  </si>
  <si>
    <t>WT-RGW2347-3</t>
  </si>
  <si>
    <t>WT-RGW2347-5</t>
  </si>
  <si>
    <t>WT-RGW2347-6</t>
  </si>
  <si>
    <t>23*9.5</t>
  </si>
  <si>
    <t>WT-RGW2332-1</t>
  </si>
  <si>
    <t xml:space="preserve">NIO ET9</t>
  </si>
  <si>
    <t>WT-RGW2332-2</t>
  </si>
  <si>
    <t>WT-RGW2332-3</t>
  </si>
  <si>
    <t>WT-RGW2300-1</t>
  </si>
  <si>
    <t xml:space="preserve">NIO ES8</t>
  </si>
  <si>
    <t>WT-RGW0566</t>
  </si>
  <si>
    <t xml:space="preserve">графит + проточка</t>
  </si>
  <si>
    <t>WT-RGW0566-4</t>
  </si>
  <si>
    <t xml:space="preserve">графит мат</t>
  </si>
  <si>
    <t>WT-RGW0566-1</t>
  </si>
  <si>
    <t>WT-RGW0566-6</t>
  </si>
  <si>
    <t>WT-RGW0566-5</t>
  </si>
  <si>
    <t>WT-RGW0566-3</t>
  </si>
  <si>
    <t>WT-RGW0566-7</t>
  </si>
  <si>
    <t>WT-RGW0567</t>
  </si>
  <si>
    <t>40/43</t>
  </si>
  <si>
    <t>WT-RGW0567-2</t>
  </si>
  <si>
    <t>WT-RGW0567-3</t>
  </si>
  <si>
    <t>WT-RGW0245</t>
  </si>
  <si>
    <t xml:space="preserve">графит + проточка, накладки (левое)</t>
  </si>
  <si>
    <t xml:space="preserve">графит + проточка, накладки (правое)</t>
  </si>
  <si>
    <t>WT-RGW0564-1</t>
  </si>
  <si>
    <t>WT-RGW0564</t>
  </si>
  <si>
    <t>WT-RGW0564-2</t>
  </si>
  <si>
    <t>WT-RGW0565-2</t>
  </si>
  <si>
    <t xml:space="preserve">NIO ET7</t>
  </si>
  <si>
    <t>WT-RGW0565-4</t>
  </si>
  <si>
    <t>WT-RGW0565-1</t>
  </si>
  <si>
    <t>WT-RGW2219</t>
  </si>
  <si>
    <t>WT-RGW2219-1</t>
  </si>
  <si>
    <t>WT-RGW2219-2</t>
  </si>
  <si>
    <t>WT-RGW2284-1</t>
  </si>
  <si>
    <t>WT-RGW2390</t>
  </si>
  <si>
    <t>WT-RGW2315-1</t>
  </si>
  <si>
    <t>WT-RGW2315-2</t>
  </si>
  <si>
    <t>WT-RGW2315-3</t>
  </si>
  <si>
    <t>WT-RGW2346</t>
  </si>
  <si>
    <t xml:space="preserve">Tesla Model 3</t>
  </si>
  <si>
    <t>WT-RGW2346-1</t>
  </si>
  <si>
    <t>WT-RGW642</t>
  </si>
  <si>
    <t xml:space="preserve">Tesla</t>
  </si>
  <si>
    <t>WT-RGW642-4</t>
  </si>
  <si>
    <t>WT-RGW642-2</t>
  </si>
  <si>
    <t>WT-RGW642-3</t>
  </si>
  <si>
    <t>WT-RGW642-1</t>
  </si>
  <si>
    <t>WT-RGW642-5</t>
  </si>
  <si>
    <t>WT-RGW642-6</t>
  </si>
  <si>
    <t>WT-RGW2336-2</t>
  </si>
  <si>
    <t xml:space="preserve">Tesla Model Y</t>
  </si>
  <si>
    <t>19*9.5</t>
  </si>
  <si>
    <t xml:space="preserve">чёрный мат</t>
  </si>
  <si>
    <t>MATTE BLACK</t>
  </si>
  <si>
    <t>WT-RGW2336-0</t>
  </si>
  <si>
    <t>WT-RGW2336-1</t>
  </si>
  <si>
    <t>20*10.5</t>
  </si>
  <si>
    <t>WT-RGW220127-1</t>
  </si>
  <si>
    <t>19*9</t>
  </si>
  <si>
    <t>WT-RGW220127</t>
  </si>
  <si>
    <t>WT-RGW6878</t>
  </si>
  <si>
    <t>WT-RGW6878-1</t>
  </si>
  <si>
    <t>21*10.5</t>
  </si>
  <si>
    <t>WT-3880</t>
  </si>
  <si>
    <t xml:space="preserve">Tesla (кастом)</t>
  </si>
  <si>
    <t xml:space="preserve">чёрный мат + глянцевый обод</t>
  </si>
  <si>
    <t>WT-RGW2303</t>
  </si>
  <si>
    <t xml:space="preserve">Aito S800</t>
  </si>
  <si>
    <t>WT-RGW2303-2</t>
  </si>
  <si>
    <t>WT-RGW2301</t>
  </si>
  <si>
    <t>WT-RGW3338</t>
  </si>
  <si>
    <t xml:space="preserve">Luxeed S7</t>
  </si>
  <si>
    <t>WT-TRGW2256</t>
  </si>
  <si>
    <t xml:space="preserve">Luxeed S7</t>
  </si>
  <si>
    <t>WT-RGW2275-1</t>
  </si>
  <si>
    <t xml:space="preserve">Luxeed R7</t>
  </si>
  <si>
    <t>WT-RGW4941</t>
  </si>
  <si>
    <t xml:space="preserve">Aito S9</t>
  </si>
  <si>
    <t>WT-RGW2349</t>
  </si>
  <si>
    <t xml:space="preserve">Aito</t>
  </si>
  <si>
    <t>WT-RGW2328-1</t>
  </si>
  <si>
    <t xml:space="preserve">Aito S9 (тюнинг)</t>
  </si>
  <si>
    <t xml:space="preserve">серебро + проточка</t>
  </si>
  <si>
    <t>WT-RGW2328-2</t>
  </si>
  <si>
    <t>WT-RGW2257-1</t>
  </si>
  <si>
    <t>WT-RGW2257-2</t>
  </si>
  <si>
    <t>WT-RGW2350</t>
  </si>
  <si>
    <t xml:space="preserve">Aito M9</t>
  </si>
  <si>
    <t>WT-RGW2350-1</t>
  </si>
  <si>
    <t>WT-RGW2350-2</t>
  </si>
  <si>
    <t>WT-RGW2350-3A</t>
  </si>
  <si>
    <t>WT-RGW2350-4A</t>
  </si>
  <si>
    <t>WT-RGW2350-3</t>
  </si>
  <si>
    <t>WT-RGW2350-4</t>
  </si>
  <si>
    <t>WT-RGW2309</t>
  </si>
  <si>
    <t>WT-RGW2309-1</t>
  </si>
  <si>
    <t>GLOSS BLACK</t>
  </si>
  <si>
    <t>WT-RGW2309-2</t>
  </si>
  <si>
    <t>WT-RGW2291</t>
  </si>
  <si>
    <t>WT-RGW2291-1</t>
  </si>
  <si>
    <t>WT-RGW2291-2</t>
  </si>
  <si>
    <t>WT-RGW2289</t>
  </si>
  <si>
    <t>WT-RGW2289-1</t>
  </si>
  <si>
    <t>WT-RGW2289-2</t>
  </si>
  <si>
    <t>WT-RGW2292-1</t>
  </si>
  <si>
    <t>WT-RGW2292-2</t>
  </si>
  <si>
    <t>WT-RGW2287-1</t>
  </si>
  <si>
    <t>WT-RGW2287-2</t>
  </si>
  <si>
    <t>WT-RGW2287-3</t>
  </si>
  <si>
    <t>WT-RGW2287-4</t>
  </si>
  <si>
    <t>WT-TRGW2266</t>
  </si>
  <si>
    <t>WT-RGW2273-1</t>
  </si>
  <si>
    <t>WT-RGW2273-2</t>
  </si>
  <si>
    <t>WT-RGW2274-1</t>
  </si>
  <si>
    <t>WT-RGW2274-2</t>
  </si>
  <si>
    <t>WT-RGW2270</t>
  </si>
  <si>
    <t>WT-RGW2270-1</t>
  </si>
  <si>
    <t>WT-RGW2270-2</t>
  </si>
  <si>
    <t>WT-RGW2270-3</t>
  </si>
  <si>
    <t>WT-RGW2260</t>
  </si>
  <si>
    <t>WT-RGW2260-1</t>
  </si>
  <si>
    <t>WT-RGW2260-2</t>
  </si>
  <si>
    <t>38/40</t>
  </si>
  <si>
    <t>WT-RGW2236-1</t>
  </si>
  <si>
    <t>WT-RGW2236-2</t>
  </si>
  <si>
    <t>21*10</t>
  </si>
  <si>
    <t>WT-RGW2236-3</t>
  </si>
  <si>
    <t>WT-RGW2236-4</t>
  </si>
  <si>
    <t>WT-RGW2233-1</t>
  </si>
  <si>
    <t xml:space="preserve">серебро шлифовка</t>
  </si>
  <si>
    <t>WT-RGW2233-2</t>
  </si>
  <si>
    <t>WT-RGW2233-3</t>
  </si>
  <si>
    <t>WT-RGW2233-4</t>
  </si>
  <si>
    <t>WT-RGW2233</t>
  </si>
  <si>
    <t>WT-RGW2223-5</t>
  </si>
  <si>
    <t>WT-RGW2223-1</t>
  </si>
  <si>
    <t>WT-RGW2223-2</t>
  </si>
  <si>
    <t>WT-RGW2223-3</t>
  </si>
  <si>
    <t>WT-RGW2223-4</t>
  </si>
  <si>
    <t>WT-RGW2239-1</t>
  </si>
  <si>
    <t>WT-RGW2239-2</t>
  </si>
  <si>
    <t>WT-RGW2240</t>
  </si>
  <si>
    <t>WT-RGW2229</t>
  </si>
  <si>
    <t>WT-RGW2229-1</t>
  </si>
  <si>
    <t>WT-RGW2229-2</t>
  </si>
  <si>
    <t>21*9.5/10</t>
  </si>
  <si>
    <t>WT-RGW2250-1</t>
  </si>
  <si>
    <t>WT-RGW2250-2</t>
  </si>
  <si>
    <r>
      <rPr>
        <b/>
        <sz val="11"/>
        <color rgb="FF000000"/>
        <rFont val="宋体"/>
        <charset val="134"/>
      </rPr>
      <t>21*</t>
    </r>
    <r>
      <rPr>
        <b/>
        <sz val="11"/>
        <color rgb="FFFF0000"/>
        <rFont val="宋体"/>
        <charset val="134"/>
      </rPr>
      <t>9.5/10</t>
    </r>
  </si>
  <si>
    <t>WT-RGW2230-2</t>
  </si>
  <si>
    <t>WT-RGW2230-0</t>
  </si>
  <si>
    <r>
      <rPr>
        <b/>
        <sz val="11"/>
        <color rgb="FF000000"/>
        <rFont val="宋体"/>
        <charset val="134"/>
      </rPr>
      <t>20*</t>
    </r>
    <r>
      <rPr>
        <b/>
        <sz val="11"/>
        <color rgb="FFFF0000"/>
        <rFont val="宋体"/>
        <charset val="134"/>
      </rPr>
      <t>9</t>
    </r>
  </si>
  <si>
    <t>WT-RGW2230</t>
  </si>
  <si>
    <t>WT-RGW2230-1</t>
  </si>
  <si>
    <t>WT-RGW2230-7</t>
  </si>
  <si>
    <t>WT-RGW2230-1摆展</t>
  </si>
  <si>
    <r>
      <rPr>
        <b/>
        <sz val="11"/>
        <color rgb="FF000000"/>
        <rFont val="宋体"/>
        <charset val="134"/>
      </rPr>
      <t>21*</t>
    </r>
    <r>
      <rPr>
        <b/>
        <sz val="11"/>
        <color rgb="FFFF0000"/>
        <rFont val="宋体"/>
        <charset val="134"/>
      </rPr>
      <t>9/10</t>
    </r>
  </si>
  <si>
    <t>WT-RGW1816</t>
  </si>
  <si>
    <t>WT-RGW1816-1</t>
  </si>
  <si>
    <t>WT-RGW1816-2</t>
  </si>
  <si>
    <t>WT-RGW2230-5</t>
  </si>
  <si>
    <t>WT-RGW2230-6</t>
  </si>
  <si>
    <r>
      <rPr>
        <b/>
        <sz val="11"/>
        <color rgb="FF000000"/>
        <rFont val="宋体"/>
        <charset val="134"/>
      </rPr>
      <t>21*</t>
    </r>
    <r>
      <rPr>
        <b/>
        <sz val="11"/>
        <color rgb="FFFF0000"/>
        <rFont val="宋体"/>
        <charset val="134"/>
      </rPr>
      <t>9.5</t>
    </r>
  </si>
  <si>
    <t>WT-RGW2230-3</t>
  </si>
  <si>
    <t>WT-RGW2230-4</t>
  </si>
  <si>
    <t>WT-RGW2222-5</t>
  </si>
  <si>
    <t>WT-RGW2222-1</t>
  </si>
  <si>
    <t>WT-RGW2222-2</t>
  </si>
  <si>
    <t>WT-RGW2222-3</t>
  </si>
  <si>
    <t>WT-RGW2222-4</t>
  </si>
  <si>
    <t>WT-RGW2220</t>
  </si>
  <si>
    <t>WT-RGW2220-1</t>
  </si>
  <si>
    <t>WT-RGW2220-4</t>
  </si>
  <si>
    <t>WT-RGW2220-2</t>
  </si>
  <si>
    <t>WT-RGW20260210</t>
  </si>
  <si>
    <t xml:space="preserve">графит + шлифованный обод</t>
  </si>
  <si>
    <t>WT-BM738</t>
  </si>
  <si>
    <t xml:space="preserve">BMW</t>
  </si>
  <si>
    <t xml:space="preserve">слоновая кость</t>
  </si>
  <si>
    <t>ivory</t>
  </si>
  <si>
    <t>WT-RGW483</t>
  </si>
  <si>
    <t xml:space="preserve">Audi</t>
  </si>
  <si>
    <t>21*9.0</t>
  </si>
  <si>
    <t>VELIX-X1</t>
  </si>
  <si>
    <t xml:space="preserve">VELIX</t>
  </si>
  <si>
    <t>VELIX-X1-3</t>
  </si>
  <si>
    <t xml:space="preserve">серебро шлифовка</t>
  </si>
  <si>
    <t>Brushed Silver</t>
  </si>
  <si>
    <t>VELIX-X1-1</t>
  </si>
  <si>
    <t>VELIX-X1-2</t>
  </si>
  <si>
    <t xml:space="preserve">серебро глянец</t>
  </si>
  <si>
    <t>VELIX-X2-1</t>
  </si>
  <si>
    <t>WT-TRGW1820</t>
  </si>
  <si>
    <t xml:space="preserve">Тюнинг</t>
  </si>
  <si>
    <t>WT-RGW2342-1</t>
  </si>
  <si>
    <t xml:space="preserve">WF</t>
  </si>
  <si>
    <t>WT-RGW2342-2</t>
  </si>
  <si>
    <t>WT-RGW2243-7</t>
  </si>
  <si>
    <t>WT-RGW2243-8</t>
  </si>
  <si>
    <t>WT-RGW2243-5</t>
  </si>
  <si>
    <t>WT-RGW2243-6</t>
  </si>
  <si>
    <t>WT-RGW2243</t>
  </si>
  <si>
    <t>WT-RGW2243-1</t>
  </si>
  <si>
    <t>WT-RGW2243-2</t>
  </si>
  <si>
    <t>WT-TRGW222</t>
  </si>
  <si>
    <t xml:space="preserve">G025</t>
  </si>
  <si>
    <t xml:space="preserve">чёрный мат + проточка обода</t>
  </si>
  <si>
    <t>WT-TRGW222-5</t>
  </si>
  <si>
    <t>WT-TRGW222-6</t>
  </si>
  <si>
    <t>WT-TRGW222-1</t>
  </si>
  <si>
    <t>WT-TRGW222-2</t>
  </si>
  <si>
    <t>WT-TRGW222-3</t>
  </si>
  <si>
    <t>WT-TRGW222-4</t>
  </si>
  <si>
    <t>WT-TRGW101-6</t>
  </si>
  <si>
    <t xml:space="preserve">HRE</t>
  </si>
  <si>
    <t>WT-TRGW101-14</t>
  </si>
  <si>
    <t>WT-TRGW101-1</t>
  </si>
  <si>
    <t>WT-TRGW101-2</t>
  </si>
  <si>
    <t>WT-RGW101-3</t>
  </si>
  <si>
    <t>WT-RGW101-4</t>
  </si>
  <si>
    <t>WT-TRGW101-11</t>
  </si>
  <si>
    <t>WT-TRGW101-12</t>
  </si>
  <si>
    <t>WT-RGW101-5</t>
  </si>
  <si>
    <t>WT-RGW101-13</t>
  </si>
  <si>
    <t>WT-RGW101-9</t>
  </si>
  <si>
    <t>WT-TRGW101-10</t>
  </si>
  <si>
    <t>WT-TRGW101-7</t>
  </si>
  <si>
    <t>WT-TRGW101-8</t>
  </si>
  <si>
    <t>WT-RGW101-16</t>
  </si>
  <si>
    <t>WT-RGW101-17</t>
  </si>
  <si>
    <t>WT-TRGW101-18</t>
  </si>
  <si>
    <t>WT-TRGW104-2</t>
  </si>
  <si>
    <t>WT-RGW104-2</t>
  </si>
  <si>
    <t>WT-RGW104-10</t>
  </si>
  <si>
    <t>WT-RGW104-1</t>
  </si>
  <si>
    <t>WT-RGW104-11</t>
  </si>
  <si>
    <t>WT-RGW104-16</t>
  </si>
  <si>
    <t>WT-RGW104-4</t>
  </si>
  <si>
    <t>WT-RGW104-5</t>
  </si>
  <si>
    <t>WT-RGW104-6</t>
  </si>
  <si>
    <t>WT-RGW104-7</t>
  </si>
  <si>
    <t>WT-RGW104-17</t>
  </si>
  <si>
    <t>WT-RGW104-12</t>
  </si>
  <si>
    <t>WT-RGW104-13</t>
  </si>
  <si>
    <t>WT-RGW104-14</t>
  </si>
  <si>
    <t>WT-RGW104-15</t>
  </si>
  <si>
    <t>WT-RGW104-18</t>
  </si>
  <si>
    <t>WT-RGW104-25</t>
  </si>
  <si>
    <t>WT-RGW104-26</t>
  </si>
  <si>
    <t>WT-RGW104-27</t>
  </si>
  <si>
    <t>WT-RGW104-28</t>
  </si>
  <si>
    <t>WT-RGW104-21</t>
  </si>
  <si>
    <t>WT-RGW104-20</t>
  </si>
  <si>
    <t>WT-RGW104-23</t>
  </si>
  <si>
    <t>WT-RGW104-24</t>
  </si>
  <si>
    <t>WT-RGW104-22</t>
  </si>
  <si>
    <t>WT-RGW579-5</t>
  </si>
  <si>
    <t xml:space="preserve">BBS</t>
  </si>
  <si>
    <t>WT-RGW579-1</t>
  </si>
  <si>
    <t>WT-RGW579-4</t>
  </si>
  <si>
    <t>WT-RGW579-10</t>
  </si>
  <si>
    <t>WT-RGW579-2</t>
  </si>
  <si>
    <t>WT-RGW579-*</t>
  </si>
  <si>
    <t xml:space="preserve">графит</t>
  </si>
  <si>
    <t>WT-RGW579-3</t>
  </si>
  <si>
    <t>WT-RGW579</t>
  </si>
  <si>
    <t>WT-RGW579-9</t>
  </si>
  <si>
    <t>WT-RGW579-9替换</t>
  </si>
  <si>
    <t>WT-RGW579-7</t>
  </si>
  <si>
    <t>WT-RGW579-6</t>
  </si>
  <si>
    <t>WT-TRGW579-1</t>
  </si>
  <si>
    <t>WT-TRGW579-2</t>
  </si>
  <si>
    <t>WT-TRGW579-3</t>
  </si>
  <si>
    <t>WT-TRGW579-4</t>
  </si>
  <si>
    <t>WT-TRGW579-6</t>
  </si>
  <si>
    <t>WT-TRGW579-7</t>
  </si>
  <si>
    <t>WT-TRGW579-8</t>
  </si>
  <si>
    <t>WT-TRGW579-9</t>
  </si>
  <si>
    <t>WT-TRGW579-10</t>
  </si>
  <si>
    <t>WT-TRGW579-11</t>
  </si>
  <si>
    <t>WT-TRGW579-12</t>
  </si>
  <si>
    <t>WT-TRGW579-5</t>
  </si>
  <si>
    <t>WT-RGW313-9</t>
  </si>
  <si>
    <t>WT-RGW313-1</t>
  </si>
  <si>
    <t>WT-RGW313-12</t>
  </si>
  <si>
    <t>WT-RGW313-3</t>
  </si>
  <si>
    <t>WT-TRGW313-2</t>
  </si>
  <si>
    <t xml:space="preserve">серебро хайпер</t>
  </si>
  <si>
    <t>WT-TRGW313-16</t>
  </si>
  <si>
    <t>WT-TRGW313-15</t>
  </si>
  <si>
    <t>WT-RGW313-4</t>
  </si>
  <si>
    <t>WT-RGW313-10</t>
  </si>
  <si>
    <t>WT-RGW313-5</t>
  </si>
  <si>
    <t>WT-RGW313-6</t>
  </si>
  <si>
    <t>WT-RGW313-13</t>
  </si>
  <si>
    <t>WT-RGW313-14</t>
  </si>
  <si>
    <t>WT-RGW313-15</t>
  </si>
  <si>
    <t>WT-RGW313-7</t>
  </si>
  <si>
    <t>WT-RGW313-8</t>
  </si>
  <si>
    <t>WT-TRGW313-9</t>
  </si>
  <si>
    <t>WT-TRGW313-10</t>
  </si>
  <si>
    <t>WT-TRGW212-1</t>
  </si>
  <si>
    <t>WT-TRGW212-2</t>
  </si>
  <si>
    <t>WT-TRGW212-3</t>
  </si>
  <si>
    <t>WT-TRGW212-4</t>
  </si>
  <si>
    <t>WT-TRGW212-34</t>
  </si>
  <si>
    <t>WT-TRGW212-36</t>
  </si>
  <si>
    <t>WT-TRGW212-39</t>
  </si>
  <si>
    <t>WT-TRGW212-5</t>
  </si>
  <si>
    <t>WT-TRGW212-6</t>
  </si>
  <si>
    <t>WT-TRGW212-7</t>
  </si>
  <si>
    <t>WT-TRGW212-8</t>
  </si>
  <si>
    <t>WT-TRGW212-25</t>
  </si>
  <si>
    <t>WT-TRGW212-27</t>
  </si>
  <si>
    <t>WT-TRGW212-9</t>
  </si>
  <si>
    <t>WT-TRGW212-10</t>
  </si>
  <si>
    <t>WT-TRGW212-28</t>
  </si>
  <si>
    <t>WT-TRGW212-11</t>
  </si>
  <si>
    <t>WT-TRGW212-12</t>
  </si>
  <si>
    <t>WT-TRGW212-13</t>
  </si>
  <si>
    <t>WT-TRGW212-14</t>
  </si>
  <si>
    <t>WT-TRGW212-15</t>
  </si>
  <si>
    <t>WT-TRGW212-16</t>
  </si>
  <si>
    <t>WT-TRGW212-17</t>
  </si>
  <si>
    <t>WT-TRGW212-18</t>
  </si>
  <si>
    <t>WT-TRGW212-19</t>
  </si>
  <si>
    <t>WT-TRGW212-20</t>
  </si>
  <si>
    <t>WT-TRGW212-21</t>
  </si>
  <si>
    <t>WT-TRGW212-22</t>
  </si>
  <si>
    <t>WT-TRGW212-23</t>
  </si>
  <si>
    <t>WT-TRGW212-24</t>
  </si>
  <si>
    <t>WT-TRGW212-29</t>
  </si>
  <si>
    <t>WT-TRGW212-30</t>
  </si>
  <si>
    <t>WT-TRGW212-31</t>
  </si>
  <si>
    <t>WT-TRGW212-32</t>
  </si>
  <si>
    <t>WT-TRGW212-33</t>
  </si>
  <si>
    <t>WT-TRGW262-1</t>
  </si>
  <si>
    <t>WT-TRGW262-2</t>
  </si>
  <si>
    <t>WT-TRGW262-3</t>
  </si>
  <si>
    <t>WT-TRGW262-4</t>
  </si>
  <si>
    <t>WT-TRGW262-5</t>
  </si>
  <si>
    <t>WT-TRGW262-6</t>
  </si>
  <si>
    <t>WT-TRGW262-7</t>
  </si>
  <si>
    <t>WT-TRGW262-8</t>
  </si>
  <si>
    <t>WT-TRGW262-9</t>
  </si>
  <si>
    <t>WT-TRGW262-10</t>
  </si>
  <si>
    <t>WT-TRGW262-11</t>
  </si>
  <si>
    <t>WT-TRGW262-12</t>
  </si>
  <si>
    <t>WT-TRGW262-13</t>
  </si>
  <si>
    <t>WT-TRGW262-14</t>
  </si>
  <si>
    <t>WT-TRGW262-15</t>
  </si>
  <si>
    <t>WT-TRGW262-16</t>
  </si>
  <si>
    <t>WT-TRGW262-17</t>
  </si>
  <si>
    <t>WT-TRGW262-18</t>
  </si>
  <si>
    <t>WT-TRGW262-19</t>
  </si>
  <si>
    <t>WT-TRGW262-20</t>
  </si>
  <si>
    <t>WT-RGW240236</t>
  </si>
  <si>
    <t xml:space="preserve">Mercedes</t>
  </si>
  <si>
    <t xml:space="preserve">Land Rover</t>
  </si>
  <si>
    <t xml:space="preserve">чёрный мат + проточка</t>
  </si>
  <si>
    <t>WT-宝马</t>
  </si>
  <si>
    <t xml:space="preserve">бронза шлифовка</t>
  </si>
  <si>
    <t>WT-690K6</t>
  </si>
  <si>
    <t xml:space="preserve">серебристо-серый</t>
  </si>
  <si>
    <t xml:space="preserve">Выставочный образец 09</t>
  </si>
  <si>
    <t xml:space="preserve">Алюминиевая заготовка</t>
  </si>
  <si>
    <t>WT-RGW0150-1</t>
  </si>
  <si>
    <t xml:space="preserve">BMW 3-Series</t>
  </si>
  <si>
    <t>WT-RGW0150</t>
  </si>
  <si>
    <t>WT-RGW0150-3</t>
  </si>
  <si>
    <t>WT-RGW6126</t>
  </si>
  <si>
    <t xml:space="preserve">BMW 4-Series</t>
  </si>
  <si>
    <t>WT-RGW2244-1</t>
  </si>
  <si>
    <t xml:space="preserve">BMW 5-Series</t>
  </si>
  <si>
    <t>WT-RGW2244-2</t>
  </si>
  <si>
    <t>WT-RGW2244-3</t>
  </si>
  <si>
    <t>WT-RGW2244-4</t>
  </si>
  <si>
    <t>WT-RGW2234</t>
  </si>
  <si>
    <t>WT-RGW2234-1</t>
  </si>
  <si>
    <t>WT-RGW2234-2</t>
  </si>
  <si>
    <t>WT-RGW1855-9</t>
  </si>
  <si>
    <t>WT-TRGW1855-1</t>
  </si>
  <si>
    <t>WT-RGW1855-10</t>
  </si>
  <si>
    <t>18*9</t>
  </si>
  <si>
    <t>WT-RGW1855-2</t>
  </si>
  <si>
    <t>WT-RGW1855-3</t>
  </si>
  <si>
    <t>WT-RGW1855-4</t>
  </si>
  <si>
    <t>WT-TRGW1855-2</t>
  </si>
  <si>
    <t>WT-TRGW1855-3</t>
  </si>
  <si>
    <t>WT-RGW2237-1</t>
  </si>
  <si>
    <t>WT-RGW2237-2</t>
  </si>
  <si>
    <t>WT-RGW2237-3</t>
  </si>
  <si>
    <t>WT-RGW2237-4</t>
  </si>
  <si>
    <t>GVI-BW25A</t>
  </si>
  <si>
    <t>19X8.5</t>
  </si>
  <si>
    <t xml:space="preserve">графит + проточка</t>
  </si>
  <si>
    <t>GVI-BW25B</t>
  </si>
  <si>
    <t>19X9.5</t>
  </si>
  <si>
    <t>WT-RGW1013-1</t>
  </si>
  <si>
    <t xml:space="preserve">чёрный глянец + фрезерованные канавки</t>
  </si>
  <si>
    <t>WT-RGW1013</t>
  </si>
  <si>
    <t>WY-LH1013-</t>
  </si>
  <si>
    <t>25/30</t>
  </si>
  <si>
    <t>66.56/66.45</t>
  </si>
  <si>
    <t xml:space="preserve">чёрный глянец + фрезеровка</t>
  </si>
  <si>
    <t>WT-RGW1013-4</t>
  </si>
  <si>
    <t>WT-LH1013</t>
  </si>
  <si>
    <t>WT-RGW1013-2</t>
  </si>
  <si>
    <t>WT-RGW1013-3</t>
  </si>
  <si>
    <t>WT-RGW2356</t>
  </si>
  <si>
    <t xml:space="preserve">BMW 7-Series</t>
  </si>
  <si>
    <t>WT-RGW2258-5</t>
  </si>
  <si>
    <t>WT-RGW2258-1</t>
  </si>
  <si>
    <t>WT-RGW2258-2</t>
  </si>
  <si>
    <t>WT-RGW2258</t>
  </si>
  <si>
    <t>WT-RGW2258-7</t>
  </si>
  <si>
    <t>WT-RGW2258-8</t>
  </si>
  <si>
    <t>WT-RGW2251-1</t>
  </si>
  <si>
    <t>WT-RGW2251-3</t>
  </si>
  <si>
    <t>WT-RGW2251-2</t>
  </si>
  <si>
    <t>WT-RGW2245-1</t>
  </si>
  <si>
    <t>WT-RGW2245</t>
  </si>
  <si>
    <t>WT-RGW2259-1</t>
  </si>
  <si>
    <t>WT-RGW2259-2</t>
  </si>
  <si>
    <t>WT-RGW2259-3</t>
  </si>
  <si>
    <t>WT-RGW2259-4</t>
  </si>
  <si>
    <t>WT-RGW1830-2</t>
  </si>
  <si>
    <t>WT-RGW1830-3</t>
  </si>
  <si>
    <t>WT-RGW1830-7</t>
  </si>
  <si>
    <t>WT-RGW1830-1</t>
  </si>
  <si>
    <t>WT-RGW1830-9</t>
  </si>
  <si>
    <t>WT-RGW1830-10</t>
  </si>
  <si>
    <t>GVI-BW08B</t>
  </si>
  <si>
    <t>WT-RGW1012-1</t>
  </si>
  <si>
    <t>WT-RGW1012-2</t>
  </si>
  <si>
    <t>WT-RGW1026</t>
  </si>
  <si>
    <t>WT-RGW1026-1</t>
  </si>
  <si>
    <t>WT-RGW1011-3</t>
  </si>
  <si>
    <t>WT-RGW1011-9</t>
  </si>
  <si>
    <t>WT-RGW1011-10</t>
  </si>
  <si>
    <t>WT-RGW1011-12</t>
  </si>
  <si>
    <t>WT-RGW1011-5</t>
  </si>
  <si>
    <t>WT-RGW1011</t>
  </si>
  <si>
    <t>WT-RGW1011-6</t>
  </si>
  <si>
    <t>WT-RGW1011-7</t>
  </si>
  <si>
    <t>WT-RGW5051-1</t>
  </si>
  <si>
    <t>WT-RGW5051</t>
  </si>
  <si>
    <t>20*10</t>
  </si>
  <si>
    <t>WT-RGW9476-1</t>
  </si>
  <si>
    <t>WT-RGW9476-2</t>
  </si>
  <si>
    <t>WT-RGW9476-3</t>
  </si>
  <si>
    <t>WT-RGW9476-6</t>
  </si>
  <si>
    <t>WT-RGW9476-5</t>
  </si>
  <si>
    <t>WT-RGW9476-4</t>
  </si>
  <si>
    <t>WT-RGW9476-7</t>
  </si>
  <si>
    <t>WT-RGW1019-10</t>
  </si>
  <si>
    <t>WT-RGW1019-11</t>
  </si>
  <si>
    <t>WT-RGW1019-8</t>
  </si>
  <si>
    <t>WT-RGW1019-13</t>
  </si>
  <si>
    <t>WT-RGW1019-1</t>
  </si>
  <si>
    <t>WT-RGW1019-6</t>
  </si>
  <si>
    <t>WT-RGW1019-5</t>
  </si>
  <si>
    <t>WT-RGW1019-0</t>
  </si>
  <si>
    <t>WT-RGW1019-12</t>
  </si>
  <si>
    <t>WT-RGW1019-9</t>
  </si>
  <si>
    <t>WT-RGW1019</t>
  </si>
  <si>
    <t>WT-RGW1019-15</t>
  </si>
  <si>
    <t>WT-RGW1019-4</t>
  </si>
  <si>
    <t>WT-RGW1019-7</t>
  </si>
  <si>
    <t>WT-RGW1019-3</t>
  </si>
  <si>
    <t>WT-RGW3019-1</t>
  </si>
  <si>
    <t>WT-RGW3019</t>
  </si>
  <si>
    <t>WT-RGW3019-2</t>
  </si>
  <si>
    <t>WT-RGW3019-3</t>
  </si>
  <si>
    <t>WT-RGW3019-4</t>
  </si>
  <si>
    <t>WT-RGW1992</t>
  </si>
  <si>
    <t xml:space="preserve">BMW 7-Series</t>
  </si>
  <si>
    <t>WT-RGW1992-1</t>
  </si>
  <si>
    <t>WT-RGW2226</t>
  </si>
  <si>
    <t xml:space="preserve">BMW 8-Series</t>
  </si>
  <si>
    <t>WT-RGW2226-1</t>
  </si>
  <si>
    <t>WT-RGW2226-2</t>
  </si>
  <si>
    <t>WT-RGW2226-3</t>
  </si>
  <si>
    <t>WT-RGW2226-4</t>
  </si>
  <si>
    <t>WT-RGW2226-5</t>
  </si>
  <si>
    <t>GVI-BW16H</t>
  </si>
  <si>
    <t xml:space="preserve">BMW Alpina</t>
  </si>
  <si>
    <t xml:space="preserve">серебро</t>
  </si>
  <si>
    <t>GVI-BW16I</t>
  </si>
  <si>
    <t>WT-RGW523</t>
  </si>
  <si>
    <t xml:space="preserve">BMW M3</t>
  </si>
  <si>
    <t>WT-RGW523-4</t>
  </si>
  <si>
    <t>WT-RGW523-6</t>
  </si>
  <si>
    <t>WT-RGW523-1</t>
  </si>
  <si>
    <t>WT-RGW523-3</t>
  </si>
  <si>
    <t>WT-RGW523-8</t>
  </si>
  <si>
    <t>WT-TRGW1850</t>
  </si>
  <si>
    <t xml:space="preserve">BMW M4</t>
  </si>
  <si>
    <t>WT-TRGW1850-7</t>
  </si>
  <si>
    <t>WT-TRGW1850-4</t>
  </si>
  <si>
    <t>WT-TRGW1850-10</t>
  </si>
  <si>
    <t>WT-TRGW1850-8</t>
  </si>
  <si>
    <t>WT-RGW1842-14</t>
  </si>
  <si>
    <t>WT-RGW1842-12</t>
  </si>
  <si>
    <t>WT-RGW1842-7</t>
  </si>
  <si>
    <t>WT-RGW1842-4</t>
  </si>
  <si>
    <t>WT-RGW1842-5</t>
  </si>
  <si>
    <t>WT-RGW1842-10</t>
  </si>
  <si>
    <t>WT-RGW1842-13</t>
  </si>
  <si>
    <t>WT-RGW1842-3</t>
  </si>
  <si>
    <t>WT-RGW1842-11</t>
  </si>
  <si>
    <t>WT-RGW1842</t>
  </si>
  <si>
    <t>WT-RGW1842-8</t>
  </si>
  <si>
    <t>WT-RGW1842-16</t>
  </si>
  <si>
    <t>WT-RGW1842-2</t>
  </si>
  <si>
    <t>WT-RGW1844-5</t>
  </si>
  <si>
    <t>WT-RGW1844-3</t>
  </si>
  <si>
    <t>WT-RGW1844-7</t>
  </si>
  <si>
    <t>WT-RGW1857</t>
  </si>
  <si>
    <t>WT-RGW1857-1</t>
  </si>
  <si>
    <t>WT-RGW1857-2</t>
  </si>
  <si>
    <t>WT-RGW1857-3</t>
  </si>
  <si>
    <t>WT-RGW6125-2</t>
  </si>
  <si>
    <t xml:space="preserve">BMW M5</t>
  </si>
  <si>
    <t>WT-RGW6125-3</t>
  </si>
  <si>
    <t>WT-RGW6125-4</t>
  </si>
  <si>
    <t>WT-RGW6125-5</t>
  </si>
  <si>
    <t>WT-RGW1849-3</t>
  </si>
  <si>
    <t>WT-RGW1849-2</t>
  </si>
  <si>
    <t>WT-LH1849</t>
  </si>
  <si>
    <t>WT-LH1849-1</t>
  </si>
  <si>
    <t>WT-RGW1042-2</t>
  </si>
  <si>
    <t>WT-RGW1042-4</t>
  </si>
  <si>
    <t>WT-RGW1042-6</t>
  </si>
  <si>
    <t>WT-RGW545-1</t>
  </si>
  <si>
    <t xml:space="preserve">BMW M8</t>
  </si>
  <si>
    <t>WT-RGW545-2</t>
  </si>
  <si>
    <t>WT-RGW545</t>
  </si>
  <si>
    <t>WT-RGW545-3</t>
  </si>
  <si>
    <t>WT-RGW2235-1</t>
  </si>
  <si>
    <t xml:space="preserve">BMW X1</t>
  </si>
  <si>
    <t>WT-RGW2235-2</t>
  </si>
  <si>
    <t>WT-RGW2235</t>
  </si>
  <si>
    <t>WT-RGW2283-1</t>
  </si>
  <si>
    <t>WT-RGW2283-2</t>
  </si>
  <si>
    <t>WT-RGW2299-1</t>
  </si>
  <si>
    <t xml:space="preserve">BMW X3</t>
  </si>
  <si>
    <t>WT-RGW1047</t>
  </si>
  <si>
    <t>WT-RGW1842-9</t>
  </si>
  <si>
    <t>WT-RGW576</t>
  </si>
  <si>
    <t>WT-RGW576-2</t>
  </si>
  <si>
    <t>WT-RGW212-38</t>
  </si>
  <si>
    <t xml:space="preserve">BMW X5</t>
  </si>
  <si>
    <t>WT-RGW2253-1</t>
  </si>
  <si>
    <t>WT-RGW2253-2</t>
  </si>
  <si>
    <t>WT-RGW2214-1</t>
  </si>
  <si>
    <t>WT-RGW2214-2</t>
  </si>
  <si>
    <t>WT-RGW2214-3</t>
  </si>
  <si>
    <t xml:space="preserve">графит глянец + проточка</t>
  </si>
  <si>
    <t>22*10.5</t>
  </si>
  <si>
    <t>GVI-BW29A</t>
  </si>
  <si>
    <t>74.1</t>
  </si>
  <si>
    <t>GVI-BW29B</t>
  </si>
  <si>
    <t>20*11</t>
  </si>
  <si>
    <t>WT-RGW1039</t>
  </si>
  <si>
    <t>40/41</t>
  </si>
  <si>
    <t>37/38</t>
  </si>
  <si>
    <t>WT-FBM-21</t>
  </si>
  <si>
    <t xml:space="preserve">графит мат + проточка</t>
  </si>
  <si>
    <t>WT-RGW476-4</t>
  </si>
  <si>
    <t>WT-RGW476-1</t>
  </si>
  <si>
    <t>20*10/9.5</t>
  </si>
  <si>
    <t>40/37</t>
  </si>
  <si>
    <t>20*11/10.5</t>
  </si>
  <si>
    <t>38/43</t>
  </si>
  <si>
    <t>WT-RGW476-3</t>
  </si>
  <si>
    <t>WT-RGW476-6</t>
  </si>
  <si>
    <t>WT-RGW476-7</t>
  </si>
  <si>
    <t>WT-RGW476-5</t>
  </si>
  <si>
    <t>30/37</t>
  </si>
  <si>
    <t>WT-RGW476-8</t>
  </si>
  <si>
    <t>WT-RGW555-14</t>
  </si>
  <si>
    <t>WT-RGW555-9</t>
  </si>
  <si>
    <t>WT-RGW555-8</t>
  </si>
  <si>
    <t>WT-RGW555-13</t>
  </si>
  <si>
    <t>WT-RGW555-2</t>
  </si>
  <si>
    <t>WT-RGW555-15</t>
  </si>
  <si>
    <t>WT-RGW555-5</t>
  </si>
  <si>
    <t>WT-RGW555-7</t>
  </si>
  <si>
    <t>WT-RGW555-11</t>
  </si>
  <si>
    <t>WT-RGW555-17</t>
  </si>
  <si>
    <t>WT-RGW555-12</t>
  </si>
  <si>
    <t>WT-RGW555-6</t>
  </si>
  <si>
    <t>21*11</t>
  </si>
  <si>
    <t>WT-RGW555</t>
  </si>
  <si>
    <t>WT-RGW147-3</t>
  </si>
  <si>
    <t>WT-RGW147-8</t>
  </si>
  <si>
    <t>WT-RGW147-4</t>
  </si>
  <si>
    <t>WT-RGW147</t>
  </si>
  <si>
    <t>WT-RGW147-2</t>
  </si>
  <si>
    <t>WT-RGW494-12</t>
  </si>
  <si>
    <t>WT-RGW494-11</t>
  </si>
  <si>
    <t>WT-RGW494-8</t>
  </si>
  <si>
    <t>WT-RGW494-3</t>
  </si>
  <si>
    <t>WT-TRGW494</t>
  </si>
  <si>
    <t>WT-RGW494-7</t>
  </si>
  <si>
    <t>WT-RGW494-6</t>
  </si>
  <si>
    <t>WT-RGW494</t>
  </si>
  <si>
    <t>WT-RGW494-1</t>
  </si>
  <si>
    <t>WT-RGW494-5</t>
  </si>
  <si>
    <t>WT-RGW494-10</t>
  </si>
  <si>
    <t>WT-RGW5221-2</t>
  </si>
  <si>
    <t>WT-RGW5221-3</t>
  </si>
  <si>
    <t>WT-RGW5221-7</t>
  </si>
  <si>
    <t>WT-RGW5221-8</t>
  </si>
  <si>
    <t>WT-RGW5221-1</t>
  </si>
  <si>
    <t>WT-RGW5221-9</t>
  </si>
  <si>
    <t>WT-RGW5221</t>
  </si>
  <si>
    <t>WT-RGW5221-5</t>
  </si>
  <si>
    <t>WT-RGW5221-10</t>
  </si>
  <si>
    <t>WT-RGW2402295</t>
  </si>
  <si>
    <t>WT-RGW486</t>
  </si>
  <si>
    <t xml:space="preserve">BMW X6</t>
  </si>
  <si>
    <t>WT-RGW1002-0</t>
  </si>
  <si>
    <t xml:space="preserve">BMW X5</t>
  </si>
  <si>
    <t>WT-LH1002</t>
  </si>
  <si>
    <t>WT-RGW1002</t>
  </si>
  <si>
    <t>GVI-BW07A</t>
  </si>
  <si>
    <t>GVI-BW07E</t>
  </si>
  <si>
    <t xml:space="preserve">чёрный глянец</t>
  </si>
  <si>
    <t>WT-RGW1821</t>
  </si>
  <si>
    <t xml:space="preserve">BMW X6</t>
  </si>
  <si>
    <t>WT-TRGW107</t>
  </si>
  <si>
    <t xml:space="preserve">BMW X7</t>
  </si>
  <si>
    <t>WT-TRGW107-1</t>
  </si>
  <si>
    <t>23*10.5</t>
  </si>
  <si>
    <t>WT-RGW199-2</t>
  </si>
  <si>
    <t>WT-RGW105-1</t>
  </si>
  <si>
    <t>WT-RGW199</t>
  </si>
  <si>
    <t>WT-RGW2304-1</t>
  </si>
  <si>
    <t>WT-RGW2304-4</t>
  </si>
  <si>
    <t>WT-RGW2304-5</t>
  </si>
  <si>
    <t>WT-RGW2304-2</t>
  </si>
  <si>
    <t>WT-RGW2304-3</t>
  </si>
  <si>
    <t>WT-RGW106-2</t>
  </si>
  <si>
    <t>WT-RGW106</t>
  </si>
  <si>
    <t>WT-RGW106-1</t>
  </si>
  <si>
    <t>WT-RGW578-2</t>
  </si>
  <si>
    <t>WT-RGW578</t>
  </si>
  <si>
    <t>WT-RGW578-1</t>
  </si>
  <si>
    <t>WT-RGW2256-1</t>
  </si>
  <si>
    <t xml:space="preserve">Mercedes EQ</t>
  </si>
  <si>
    <t>66.5</t>
  </si>
  <si>
    <t>WT-RGW2256-2</t>
  </si>
  <si>
    <t>WT-RGW388</t>
  </si>
  <si>
    <t>WT-RGW388-1</t>
  </si>
  <si>
    <t>WT-D185421</t>
  </si>
  <si>
    <t xml:space="preserve">Mercedes C-Class</t>
  </si>
  <si>
    <t>WT-RGW460</t>
  </si>
  <si>
    <t>WT-RGW460-1</t>
  </si>
  <si>
    <t>WT-BC386-10</t>
  </si>
  <si>
    <t>WT-RGW1836-7</t>
  </si>
  <si>
    <t xml:space="preserve">чёрный мат + красный обод</t>
  </si>
  <si>
    <t>WT-RGW1836</t>
  </si>
  <si>
    <t xml:space="preserve">чёрный мат + проточка обода</t>
  </si>
  <si>
    <t>WT-RGW1836-3</t>
  </si>
  <si>
    <t>WT-BC1836</t>
  </si>
  <si>
    <t>WT-LH1836-1</t>
  </si>
  <si>
    <t>WT-RGW5143</t>
  </si>
  <si>
    <t>WT-RGW5143-1</t>
  </si>
  <si>
    <t>WT-RGW5143-2</t>
  </si>
  <si>
    <t>WT-RGW5143-3</t>
  </si>
  <si>
    <t xml:space="preserve">Mercedes GLC</t>
  </si>
  <si>
    <t>WT-RGW1036-2</t>
  </si>
  <si>
    <t>WT-RGW1036-1</t>
  </si>
  <si>
    <t>WT-RGW2224</t>
  </si>
  <si>
    <t xml:space="preserve">Mercedes E-Class</t>
  </si>
  <si>
    <t>WT-RGW2224-1</t>
  </si>
  <si>
    <t>WT-RGW2224-2</t>
  </si>
  <si>
    <t>WT-RGW2224-5</t>
  </si>
  <si>
    <t>WT-RGW2224-6</t>
  </si>
  <si>
    <t>WT-RGW2224-3</t>
  </si>
  <si>
    <t>WT-RGW2224-4</t>
  </si>
  <si>
    <t>WT-RGW2221-1</t>
  </si>
  <si>
    <t>WT-RGW2221-2</t>
  </si>
  <si>
    <t>WT-RGW2221-3</t>
  </si>
  <si>
    <t>WT-RGW2221-4</t>
  </si>
  <si>
    <t>WT-RGW2221-5</t>
  </si>
  <si>
    <t>WT-RGW2217-1</t>
  </si>
  <si>
    <t>WT-RGW2217-4</t>
  </si>
  <si>
    <t>WT-RGW2217-5</t>
  </si>
  <si>
    <t xml:space="preserve">чёрный глянец + проточка обода</t>
  </si>
  <si>
    <t>WT-RGW2217-6</t>
  </si>
  <si>
    <t>WT-RGW2217-3</t>
  </si>
  <si>
    <t>WT-RGW2004</t>
  </si>
  <si>
    <t>WT-RGW2004-6</t>
  </si>
  <si>
    <t>WT-RGW2004-1</t>
  </si>
  <si>
    <t>WT-RGW2004-2</t>
  </si>
  <si>
    <t>WT-RGW2004-3</t>
  </si>
  <si>
    <t>WT-RGW2004-4</t>
  </si>
  <si>
    <t>WT-RGW2004-5</t>
  </si>
  <si>
    <t>WT-RGW5145</t>
  </si>
  <si>
    <t>WT-RGW5145-1</t>
  </si>
  <si>
    <t>WT-RGW5145-2</t>
  </si>
  <si>
    <t xml:space="preserve">чёрный глянец + проточка обода</t>
  </si>
  <si>
    <t>WT-RGW5145-4/1838</t>
  </si>
  <si>
    <t>WT-RGW5145-3</t>
  </si>
  <si>
    <t>WT-RGW5145-5</t>
  </si>
  <si>
    <t>WT-RGW462</t>
  </si>
  <si>
    <t>WT-RGW462-1</t>
  </si>
  <si>
    <t>WT-BC3009-4</t>
  </si>
  <si>
    <t>WT-RGW3009-8</t>
  </si>
  <si>
    <t>WT-BC3009-3</t>
  </si>
  <si>
    <t>WT-RGW3009-2</t>
  </si>
  <si>
    <t>WT-RGW3009-12</t>
  </si>
  <si>
    <t>WT-RGW2330-1</t>
  </si>
  <si>
    <t xml:space="preserve">Mercedes S-Class</t>
  </si>
  <si>
    <t>WT-RGW2330-2</t>
  </si>
  <si>
    <t>WT-RGW2330-3</t>
  </si>
  <si>
    <t>WT-RGW2330-4</t>
  </si>
  <si>
    <t>WT-RGW2331-1</t>
  </si>
  <si>
    <t>36/32</t>
  </si>
  <si>
    <t>WT-RGW2331-2</t>
  </si>
  <si>
    <t>WT-RGW2331-3</t>
  </si>
  <si>
    <t>WT-RGW2331-4</t>
  </si>
  <si>
    <t>WT-RGW1120</t>
  </si>
  <si>
    <t>WT-RGW2320-2</t>
  </si>
  <si>
    <t>WT-RGW2320-3</t>
  </si>
  <si>
    <t>WT-RGW478-1</t>
  </si>
  <si>
    <t>WT-RGW478</t>
  </si>
  <si>
    <t>WT-RGW478-2</t>
  </si>
  <si>
    <t>WT-RGW485-7</t>
  </si>
  <si>
    <t>WT-RGW485-8</t>
  </si>
  <si>
    <t>WT-RGW2248-1</t>
  </si>
  <si>
    <t>WT-RGW2248-2</t>
  </si>
  <si>
    <t>WT-RGW2248-3</t>
  </si>
  <si>
    <t>WT-RGW2248-4</t>
  </si>
  <si>
    <t>WT-RGW340-1</t>
  </si>
  <si>
    <t>WT-RGW340-2</t>
  </si>
  <si>
    <t>WT-RGW340-3</t>
  </si>
  <si>
    <t>WT-RGW340-4</t>
  </si>
  <si>
    <t>WT-RGW340-5</t>
  </si>
  <si>
    <t>WT-RGW340-6</t>
  </si>
  <si>
    <t>WT-RGW1837</t>
  </si>
  <si>
    <t>WT-RGW1837-1</t>
  </si>
  <si>
    <t>GVI-BEZ07A</t>
  </si>
  <si>
    <t>19x8</t>
  </si>
  <si>
    <t>WT-RGW1837-2</t>
  </si>
  <si>
    <t>19x8.5</t>
  </si>
  <si>
    <t>WT-RGW1837-3</t>
  </si>
  <si>
    <t>19x9.5</t>
  </si>
  <si>
    <t>WT-RGW1837-4</t>
  </si>
  <si>
    <t>32/35</t>
  </si>
  <si>
    <t>WT-RGW1837-5</t>
  </si>
  <si>
    <t>WT-RGW1837-8</t>
  </si>
  <si>
    <t>WT-RGW1837-10</t>
  </si>
  <si>
    <t>20x8.5</t>
  </si>
  <si>
    <t>WT-RGW1837-10A</t>
  </si>
  <si>
    <t>20x9.5</t>
  </si>
  <si>
    <t>WT-RGW1884-4</t>
  </si>
  <si>
    <t>GVI-A170</t>
  </si>
  <si>
    <t>WT-RGW1884</t>
  </si>
  <si>
    <t>WT-RGW1884-2</t>
  </si>
  <si>
    <t>WT-RGW1884-3</t>
  </si>
  <si>
    <t>WT-LH1886-3</t>
  </si>
  <si>
    <t>WT-LH1886-1</t>
  </si>
  <si>
    <t>WT-LH1886-2</t>
  </si>
  <si>
    <t>WT-RGW637-4</t>
  </si>
  <si>
    <t>WT-RGW637</t>
  </si>
  <si>
    <t>WT-RGW637-8</t>
  </si>
  <si>
    <t>WT-RGW637-7</t>
  </si>
  <si>
    <t>WT-RGW637-2</t>
  </si>
  <si>
    <t>WT-RGW1009-5</t>
  </si>
  <si>
    <t>WT-RGW1009-2</t>
  </si>
  <si>
    <t>WT-RGW1009-3</t>
  </si>
  <si>
    <t>WT-LH1009-2</t>
  </si>
  <si>
    <t>WT-LH1009-1</t>
  </si>
  <si>
    <t>WT-LH1009-4</t>
  </si>
  <si>
    <t>32/36</t>
  </si>
  <si>
    <t>WT-LH1009-5</t>
  </si>
  <si>
    <t>WT-RGW367-4</t>
  </si>
  <si>
    <t>WT-RGW367-3</t>
  </si>
  <si>
    <t>WT-RGW367</t>
  </si>
  <si>
    <t>WT-RGW367-2</t>
  </si>
  <si>
    <t>WT-RGW586</t>
  </si>
  <si>
    <t>WT-RGW586-1</t>
  </si>
  <si>
    <t>WT-RGW586-3</t>
  </si>
  <si>
    <t>WT-RGW553</t>
  </si>
  <si>
    <t>WT-RGW553-1</t>
  </si>
  <si>
    <t>WT-RGW553-2</t>
  </si>
  <si>
    <t>WT-RGW553-10</t>
  </si>
  <si>
    <t>WT-RGW553-3</t>
  </si>
  <si>
    <t>WT-RGW217-2</t>
  </si>
  <si>
    <t>WT-RGW217-3</t>
  </si>
  <si>
    <t>WT-RGW217-1</t>
  </si>
  <si>
    <t>WT-RGW217-6</t>
  </si>
  <si>
    <t>WT-RGW342-10</t>
  </si>
  <si>
    <t>WT-RGW342-2</t>
  </si>
  <si>
    <t>WT-RGW342-7</t>
  </si>
  <si>
    <t>WT-RGW342-3</t>
  </si>
  <si>
    <t>WT-RGW342</t>
  </si>
  <si>
    <t>30/32</t>
  </si>
  <si>
    <t>WT-RGW342-4</t>
  </si>
  <si>
    <t>WT-RGW342-8</t>
  </si>
  <si>
    <t>30/32/36</t>
  </si>
  <si>
    <t>WT-RGW4293</t>
  </si>
  <si>
    <t>WT-RGW4293-1</t>
  </si>
  <si>
    <t>WT-RGW4293-2</t>
  </si>
  <si>
    <t>WT-RGW4293-3</t>
  </si>
  <si>
    <t>WT-RGW4293-4</t>
  </si>
  <si>
    <t>WT-RGW4293-5</t>
  </si>
  <si>
    <t>WT-RGW4293-6</t>
  </si>
  <si>
    <t>WT-RGW626</t>
  </si>
  <si>
    <t>WT-RGW626-4</t>
  </si>
  <si>
    <t>WT-RGW626-5</t>
  </si>
  <si>
    <t>WT-RGW626-8</t>
  </si>
  <si>
    <t>WT-TRGW1023-1</t>
  </si>
  <si>
    <t>WT-TRGW1023-2</t>
  </si>
  <si>
    <t>WT-TRGW1023-3</t>
  </si>
  <si>
    <t>WT-TRGW1023-4</t>
  </si>
  <si>
    <t>WT-RGW105-3</t>
  </si>
  <si>
    <t>WT-RGW105-5</t>
  </si>
  <si>
    <t>WT-RGW105-2</t>
  </si>
  <si>
    <t>WT-RGW105-4</t>
  </si>
  <si>
    <t>WT-RGW6185-2</t>
  </si>
  <si>
    <t>WT-RGW6185-3</t>
  </si>
  <si>
    <t>WT-RGW6185-4</t>
  </si>
  <si>
    <t>WT-TRGW2212-2</t>
  </si>
  <si>
    <t>WT-RGW2212-1</t>
  </si>
  <si>
    <t>WT-TRGW2212</t>
  </si>
  <si>
    <t>WT-RGW1046</t>
  </si>
  <si>
    <t>WT-RGW2335-3</t>
  </si>
  <si>
    <t xml:space="preserve">Mercedes GLS</t>
  </si>
  <si>
    <t>23*10</t>
  </si>
  <si>
    <t>WT-RGW2335-4</t>
  </si>
  <si>
    <t>23*11.5</t>
  </si>
  <si>
    <t>WT-RGW2262-1</t>
  </si>
  <si>
    <t xml:space="preserve">Mercedes GLE</t>
  </si>
  <si>
    <t>WT-RGW2262-2</t>
  </si>
  <si>
    <t>WT-RGW620-1</t>
  </si>
  <si>
    <t xml:space="preserve">Mercedes GLS</t>
  </si>
  <si>
    <t>WT-RGW620-2</t>
  </si>
  <si>
    <t>WT-RGW620</t>
  </si>
  <si>
    <t>22*11.5</t>
  </si>
  <si>
    <t>WT-RGW618-6</t>
  </si>
  <si>
    <t>WT-RGW619</t>
  </si>
  <si>
    <t>WT-RGW619-1</t>
  </si>
  <si>
    <t>WT-RGW619-2</t>
  </si>
  <si>
    <r>
      <rPr>
        <b/>
        <sz val="11"/>
        <rFont val="宋体"/>
        <charset val="134"/>
      </rPr>
      <t>22*</t>
    </r>
    <r>
      <rPr>
        <b/>
        <sz val="11"/>
        <color rgb="FFFF0000"/>
        <rFont val="宋体"/>
        <charset val="134"/>
      </rPr>
      <t>11.5</t>
    </r>
  </si>
  <si>
    <t>WT-RGW619-3</t>
  </si>
  <si>
    <t>WT-RGW5560</t>
  </si>
  <si>
    <t>WT-RGW5560-1</t>
  </si>
  <si>
    <t>WT-RGW5560-2</t>
  </si>
  <si>
    <t>WT-RGW5560-3</t>
  </si>
  <si>
    <t>WT-RGW5560-4</t>
  </si>
  <si>
    <t>WT-RGW340-7</t>
  </si>
  <si>
    <t>WT-RGW340-8</t>
  </si>
  <si>
    <t>WT-RGW340-9</t>
  </si>
  <si>
    <t>WT-RGW3009-3</t>
  </si>
  <si>
    <t>WT-BC3009-8</t>
  </si>
  <si>
    <t>WT-RGW3009-4</t>
  </si>
  <si>
    <t>22*11</t>
  </si>
  <si>
    <t>WT-BC386-3</t>
  </si>
  <si>
    <t>WT-BC386-4</t>
  </si>
  <si>
    <t>WT-BC386-1</t>
  </si>
  <si>
    <t>WT-BC386</t>
  </si>
  <si>
    <t>WT-FG679X</t>
  </si>
  <si>
    <t>WT-BC386-8</t>
  </si>
  <si>
    <t>WT-BC386-7</t>
  </si>
  <si>
    <t>47/48</t>
  </si>
  <si>
    <t>WT-220645/RGW5570-1</t>
  </si>
  <si>
    <t>WT-RGW5570-1</t>
  </si>
  <si>
    <r>
      <rPr>
        <b/>
        <sz val="11"/>
        <color rgb="FF000000"/>
        <rFont val="宋体"/>
        <charset val="134"/>
      </rPr>
      <t>22*</t>
    </r>
    <r>
      <rPr>
        <b/>
        <sz val="11"/>
        <color rgb="FFFF0000"/>
        <rFont val="宋体"/>
        <charset val="134"/>
      </rPr>
      <t>9.5</t>
    </r>
  </si>
  <si>
    <t>WT-RGW0152-3</t>
  </si>
  <si>
    <t xml:space="preserve">Mercedes S-Class</t>
  </si>
  <si>
    <t>WT-RGW0152</t>
  </si>
  <si>
    <t>WT-RGW0152-1</t>
  </si>
  <si>
    <t>WT-RGW0152-2</t>
  </si>
  <si>
    <t>WT-RGW553-4</t>
  </si>
  <si>
    <t>WT-RGW553-5</t>
  </si>
  <si>
    <t>WT-RGW553-6</t>
  </si>
  <si>
    <t>WT-RGW553-7</t>
  </si>
  <si>
    <t>WT-RGW1837-6</t>
  </si>
  <si>
    <t>WT-RGW1837-7</t>
  </si>
  <si>
    <t>WT-RGW1837-11</t>
  </si>
  <si>
    <t>WT-RGW1837-12</t>
  </si>
  <si>
    <t>WT-RGW1837-13</t>
  </si>
  <si>
    <t xml:space="preserve">Mercedes GLS (13 спиц)</t>
  </si>
  <si>
    <t>WT-RGW1837-14</t>
  </si>
  <si>
    <t>WT-RGW1837-15</t>
  </si>
  <si>
    <t>WT-RGW1837-16</t>
  </si>
  <si>
    <t>WT-RGW2261-5</t>
  </si>
  <si>
    <t>WT-RGW2261-6</t>
  </si>
  <si>
    <t>GVI-IRF420</t>
  </si>
  <si>
    <t xml:space="preserve">графит + полировка</t>
  </si>
  <si>
    <t>WT-RGW1832</t>
  </si>
  <si>
    <t>WT-RGW1832-1</t>
  </si>
  <si>
    <t>WT-RGW1832-2</t>
  </si>
  <si>
    <t>WT-奔驰G级</t>
  </si>
  <si>
    <t xml:space="preserve">21 дюйм</t>
  </si>
  <si>
    <t>WT-RGW460-2</t>
  </si>
  <si>
    <t xml:space="preserve">Mercedes GLC</t>
  </si>
  <si>
    <t>WT-RGW460-3</t>
  </si>
  <si>
    <r>
      <rPr>
        <b/>
        <sz val="11"/>
        <color rgb="FF000000"/>
        <rFont val="宋体"/>
        <charset val="134"/>
      </rPr>
      <t>19*</t>
    </r>
    <r>
      <rPr>
        <b/>
        <sz val="11"/>
        <color rgb="FFFF0000"/>
        <rFont val="宋体"/>
        <charset val="134"/>
      </rPr>
      <t>8</t>
    </r>
  </si>
  <si>
    <t xml:space="preserve">графит + проточка</t>
  </si>
  <si>
    <t>WT-RGW460-4</t>
  </si>
  <si>
    <t>WT-RGW460-5</t>
  </si>
  <si>
    <t>WT-RGW2311</t>
  </si>
  <si>
    <t>WT-RGW2311-1</t>
  </si>
  <si>
    <t>WT-RGW1268-1</t>
  </si>
  <si>
    <t>WT-RGW1268-2</t>
  </si>
  <si>
    <t>WT-RGW1268</t>
  </si>
  <si>
    <t>WT-RGW2280</t>
  </si>
  <si>
    <t xml:space="preserve">Mercedes G-Class</t>
  </si>
  <si>
    <t>WT-RGW236-1</t>
  </si>
  <si>
    <t>WT-RGW2252-1</t>
  </si>
  <si>
    <t>WT-RGW485-2</t>
  </si>
  <si>
    <t>WT-RGW485</t>
  </si>
  <si>
    <t>WT-RGW485-3</t>
  </si>
  <si>
    <t>WT-RGW1034-2</t>
  </si>
  <si>
    <t xml:space="preserve">Mercedes S-Class</t>
  </si>
  <si>
    <t>WT-RGW1034-1</t>
  </si>
  <si>
    <t>WT-RGW134</t>
  </si>
  <si>
    <t>WT-ZRGW164</t>
  </si>
  <si>
    <t xml:space="preserve">чёрный + красный обод</t>
  </si>
  <si>
    <t>WT-ZRGW164-3</t>
  </si>
  <si>
    <t>WT-ZRGW164-1</t>
  </si>
  <si>
    <t>24*10</t>
  </si>
  <si>
    <t>WT-RGW1902-6</t>
  </si>
  <si>
    <t>WT-RGW1902</t>
  </si>
  <si>
    <t>WT-RGW1902-1</t>
  </si>
  <si>
    <t>WT-RGW1902-2</t>
  </si>
  <si>
    <t>WT-RGW1902-3</t>
  </si>
  <si>
    <t>WT-RGW1902-4</t>
  </si>
  <si>
    <t>WT-RGW1902-5</t>
  </si>
  <si>
    <t>WT-BC7-1</t>
  </si>
  <si>
    <t xml:space="preserve">чёрный мат + серебристый обод</t>
  </si>
  <si>
    <t>WT-BC7-2</t>
  </si>
  <si>
    <t>WT-RGW369</t>
  </si>
  <si>
    <t>WT-RGW369-6</t>
  </si>
  <si>
    <t>WT-RGW2255</t>
  </si>
  <si>
    <t xml:space="preserve">Mercedes V-Class</t>
  </si>
  <si>
    <t>WT-RGW2255-1</t>
  </si>
  <si>
    <t>WT-RGW2255-2</t>
  </si>
  <si>
    <t>WT-RGW1859</t>
  </si>
  <si>
    <t>WT-RGW1859-1</t>
  </si>
  <si>
    <t>WT-RGW1859-3</t>
  </si>
  <si>
    <t>WT-RGW1859-2</t>
  </si>
  <si>
    <t xml:space="preserve">Mercedes</t>
  </si>
  <si>
    <t>WT-RGW2012</t>
  </si>
  <si>
    <t>WT-RGW2012-1</t>
  </si>
  <si>
    <t>WT-RGW2213</t>
  </si>
  <si>
    <t>WT-RGW2213-1</t>
  </si>
  <si>
    <t>WT-RGW0168</t>
  </si>
  <si>
    <t>WT-RGW0168-1</t>
  </si>
  <si>
    <t>WT-RGW0168-2</t>
  </si>
  <si>
    <t>WT-CTRGW342-8</t>
  </si>
  <si>
    <t>WT-CTRGW342-9</t>
  </si>
  <si>
    <t>WT-CTRGW343</t>
  </si>
  <si>
    <t>WT-CTRGW343-1</t>
  </si>
  <si>
    <t>WT-RGW1831-3</t>
  </si>
  <si>
    <t>WT-RGW1831-4</t>
  </si>
  <si>
    <t>WT-FSK9120</t>
  </si>
  <si>
    <t>WT-DS808</t>
  </si>
  <si>
    <t>WT-RGW443</t>
  </si>
  <si>
    <t xml:space="preserve">Mercedes Sprinter</t>
  </si>
  <si>
    <t>WT-574-27-1</t>
  </si>
  <si>
    <t xml:space="preserve">Mercedes AMG GT C</t>
  </si>
  <si>
    <t>WT-V574-27</t>
  </si>
  <si>
    <t>20*12</t>
  </si>
  <si>
    <t>WT-RGW1755-3</t>
  </si>
  <si>
    <t xml:space="preserve">Audi A6</t>
  </si>
  <si>
    <t>WT-RGW1755-2</t>
  </si>
  <si>
    <t>WT-RGW1755</t>
  </si>
  <si>
    <t>WT-RGW1755-4</t>
  </si>
  <si>
    <t>WT-RGW1755-6</t>
  </si>
  <si>
    <r>
      <rPr>
        <b/>
        <sz val="11"/>
        <color rgb="FF000000"/>
        <rFont val="宋体"/>
        <charset val="134"/>
      </rPr>
      <t>20*8.5/</t>
    </r>
    <r>
      <rPr>
        <b/>
        <sz val="11"/>
        <color rgb="FFFF0000"/>
        <rFont val="宋体"/>
        <charset val="134"/>
      </rPr>
      <t>9</t>
    </r>
  </si>
  <si>
    <t>WT-RGW1755-1</t>
  </si>
  <si>
    <t>WT-RGW2006</t>
  </si>
  <si>
    <t>WT-RGW2006-1</t>
  </si>
  <si>
    <t>WT-RGW9362</t>
  </si>
  <si>
    <t xml:space="preserve">чёрный глянец</t>
  </si>
  <si>
    <t>WT-RGW9362-2</t>
  </si>
  <si>
    <t>WT-RGW9362-1</t>
  </si>
  <si>
    <t>WT-RGW629</t>
  </si>
  <si>
    <t>WT-RGW629-1</t>
  </si>
  <si>
    <t>WT-RGW629-2</t>
  </si>
  <si>
    <t>WT-RGW212</t>
  </si>
  <si>
    <t xml:space="preserve">Audi A7</t>
  </si>
  <si>
    <t>WT-RGW212-2</t>
  </si>
  <si>
    <t>WT-RGW212-1</t>
  </si>
  <si>
    <t>WT-RGW212-3</t>
  </si>
  <si>
    <t>WT-RGW5047</t>
  </si>
  <si>
    <t>WT-RGW5047-1</t>
  </si>
  <si>
    <t>WT-RGW1846</t>
  </si>
  <si>
    <t xml:space="preserve">Audi A8</t>
  </si>
  <si>
    <t>WT-RGW1846-1</t>
  </si>
  <si>
    <t>WT-RGW1846-2</t>
  </si>
  <si>
    <t>WT-RGW628</t>
  </si>
  <si>
    <t>WT-RGW628-1</t>
  </si>
  <si>
    <t>WT-RGW628-2</t>
  </si>
  <si>
    <t>WT-RGW627-3</t>
  </si>
  <si>
    <t>WT-RGW627</t>
  </si>
  <si>
    <t>WT-RGW627-1</t>
  </si>
  <si>
    <t>28/30</t>
  </si>
  <si>
    <t>WT-RGW627-2</t>
  </si>
  <si>
    <t>WT-RGW2286</t>
  </si>
  <si>
    <t xml:space="preserve">Audi R8</t>
  </si>
  <si>
    <t>WT-RGW2286-1</t>
  </si>
  <si>
    <t>WT-RGW2286-2</t>
  </si>
  <si>
    <t>WT-TRGW493</t>
  </si>
  <si>
    <t>WT-TRGW493-2</t>
  </si>
  <si>
    <t>WT-RGW2215-1</t>
  </si>
  <si>
    <t>WT-RGW2215-2</t>
  </si>
  <si>
    <t>WT-RGW2215</t>
  </si>
  <si>
    <t>WT-RGW2215-3</t>
  </si>
  <si>
    <t>WT-RGW2215-8</t>
  </si>
  <si>
    <t>WT-RGW2215-7</t>
  </si>
  <si>
    <t xml:space="preserve">графит мат</t>
  </si>
  <si>
    <t>WT-RGW2215-5</t>
  </si>
  <si>
    <t>28/29</t>
  </si>
  <si>
    <t>WT-RGW2215-9</t>
  </si>
  <si>
    <t>WT-RGW2215-10</t>
  </si>
  <si>
    <t>WT-RGW2215-4</t>
  </si>
  <si>
    <t>WT-RGW2215-14</t>
  </si>
  <si>
    <t>WT-RGW2215-6</t>
  </si>
  <si>
    <t>WT-RGW2215-11</t>
  </si>
  <si>
    <t>WT-RGW5179-1</t>
  </si>
  <si>
    <t>WT-RGW5179-2</t>
  </si>
  <si>
    <t>WT-RGW2339-0</t>
  </si>
  <si>
    <t xml:space="preserve">Audi RS</t>
  </si>
  <si>
    <t xml:space="preserve">серебро с белым отливом</t>
  </si>
  <si>
    <t>High-Bright Off-White Silver</t>
  </si>
  <si>
    <t>WT-RGW2339-1</t>
  </si>
  <si>
    <t>WT-RGW2339-2</t>
  </si>
  <si>
    <t>WT-RGW429-9</t>
  </si>
  <si>
    <t>WT-RGW429-6</t>
  </si>
  <si>
    <t>WT-RGW429-8</t>
  </si>
  <si>
    <t>WT-RGW429-12</t>
  </si>
  <si>
    <t>WT-RGW429</t>
  </si>
  <si>
    <t>WT-RGW429-3</t>
  </si>
  <si>
    <t>WT-RGW429-2</t>
  </si>
  <si>
    <t>WT-RGW429-10</t>
  </si>
  <si>
    <t>WT-RGW429-7</t>
  </si>
  <si>
    <t>WT-RGW429-5</t>
  </si>
  <si>
    <t>WT-RGW429-4</t>
  </si>
  <si>
    <t>WT-RGW429-15</t>
  </si>
  <si>
    <r>
      <rPr>
        <b/>
        <sz val="11"/>
        <color indexed="8"/>
        <rFont val="宋体"/>
        <charset val="134"/>
      </rPr>
      <t>21*</t>
    </r>
    <r>
      <rPr>
        <b/>
        <sz val="11"/>
        <color indexed="10"/>
        <rFont val="宋体"/>
        <charset val="134"/>
      </rPr>
      <t>9</t>
    </r>
  </si>
  <si>
    <t>WT-RGW429-18</t>
  </si>
  <si>
    <t>WT-RGW1018</t>
  </si>
  <si>
    <t xml:space="preserve">Audi RS5</t>
  </si>
  <si>
    <t xml:space="preserve">чёрный глянец + полированная лицевая</t>
  </si>
  <si>
    <t>WT-RGW1018-1</t>
  </si>
  <si>
    <t xml:space="preserve">чёрный глянец + полированная лицевая</t>
  </si>
  <si>
    <t>WT-RGW1018-7</t>
  </si>
  <si>
    <t xml:space="preserve">чёрный глянец + полировка</t>
  </si>
  <si>
    <t>WT-RGW1018-2</t>
  </si>
  <si>
    <t>WT-RGW1018-3</t>
  </si>
  <si>
    <t>WT-RGW1018-4</t>
  </si>
  <si>
    <t xml:space="preserve">чёрный глянец + полированная лицевая</t>
  </si>
  <si>
    <t>WT-RGW1018-6</t>
  </si>
  <si>
    <t xml:space="preserve">чёрный глянец + полировка</t>
  </si>
  <si>
    <t>WT-RGW1018-5</t>
  </si>
  <si>
    <t>WT-RGW286-4</t>
  </si>
  <si>
    <t xml:space="preserve">Audi RS6</t>
  </si>
  <si>
    <t>WT-RGW286-5</t>
  </si>
  <si>
    <t>WT-RGW286-3</t>
  </si>
  <si>
    <t>WT-RGW286</t>
  </si>
  <si>
    <t>WT-RGW286-2</t>
  </si>
  <si>
    <t>WT-RGW121-4</t>
  </si>
  <si>
    <t xml:space="preserve">Audi RS7</t>
  </si>
  <si>
    <t>WT-RGW121-2</t>
  </si>
  <si>
    <t>WT-RGW121</t>
  </si>
  <si>
    <t>WT-RGW121-1</t>
  </si>
  <si>
    <t>WT-RGW5190</t>
  </si>
  <si>
    <t xml:space="preserve">Audi Q7</t>
  </si>
  <si>
    <t>WT-RGW5190-1</t>
  </si>
  <si>
    <t xml:space="preserve">Audi Q8</t>
  </si>
  <si>
    <t>WT-RGW5190-2</t>
  </si>
  <si>
    <t>WT-RGW1889-3</t>
  </si>
  <si>
    <t>WT-RGW1889-5</t>
  </si>
  <si>
    <t>WT-RGW1889-1</t>
  </si>
  <si>
    <t>WT-RGW1889-4</t>
  </si>
  <si>
    <t>WT-LH1889</t>
  </si>
  <si>
    <t>WT-LH1889-2</t>
  </si>
  <si>
    <t>WT-LH1889-1</t>
  </si>
  <si>
    <t>WT-RGW1889-2</t>
  </si>
  <si>
    <t>WT-CRGW1019-1</t>
  </si>
  <si>
    <t xml:space="preserve">чёрный мат + серебро</t>
  </si>
  <si>
    <t>WT-CRGW1019</t>
  </si>
  <si>
    <t xml:space="preserve">чёрный + серебро</t>
  </si>
  <si>
    <t>WT-RGW5272</t>
  </si>
  <si>
    <t>WT-RGW5272-1</t>
  </si>
  <si>
    <t>WT-RGW5272-2</t>
  </si>
  <si>
    <t>WT-TX078</t>
  </si>
  <si>
    <t xml:space="preserve">Audi S5</t>
  </si>
  <si>
    <t>WT-TX078-1</t>
  </si>
  <si>
    <t>WT-TX078-5</t>
  </si>
  <si>
    <t>WT-TX078-2</t>
  </si>
  <si>
    <t>WT-TX078-3</t>
  </si>
  <si>
    <t>GVI-ADU05C</t>
  </si>
  <si>
    <t xml:space="preserve">Audi S6</t>
  </si>
  <si>
    <t>18X8.5</t>
  </si>
  <si>
    <t>WT-RGW5509</t>
  </si>
  <si>
    <t xml:space="preserve">Audi S8</t>
  </si>
  <si>
    <t>WT-RGW5509-1</t>
  </si>
  <si>
    <t>WT-RGW5509-2</t>
  </si>
  <si>
    <t>WT-RGW527-3</t>
  </si>
  <si>
    <t>WT-RGW527-1</t>
  </si>
  <si>
    <t>WT-RGW527</t>
  </si>
  <si>
    <t>WT-RGW527-4</t>
  </si>
  <si>
    <t>WT-JX2101343</t>
  </si>
  <si>
    <t>WT-RGW1051-3</t>
  </si>
  <si>
    <t xml:space="preserve">Audi ABT</t>
  </si>
  <si>
    <t>WT-RGW1051-2</t>
  </si>
  <si>
    <t>WT-RGW1051-5</t>
  </si>
  <si>
    <t>WT-RGW1051-8</t>
  </si>
  <si>
    <t>WT-RGW1051-4</t>
  </si>
  <si>
    <t>WT-RGW1051-9</t>
  </si>
  <si>
    <t>WT-RGW218-5</t>
  </si>
  <si>
    <t>WT-RGW218</t>
  </si>
  <si>
    <t xml:space="preserve">чёрный глянец + красная внутренняя часть</t>
  </si>
  <si>
    <t>WT-RGW218-4</t>
  </si>
  <si>
    <t>WT-RGW218-6</t>
  </si>
  <si>
    <t>WT-RGW218-1</t>
  </si>
  <si>
    <t>WT-RGW218-7</t>
  </si>
  <si>
    <t>WT-RGW218-3</t>
  </si>
  <si>
    <t>WT-RGW6685-1</t>
  </si>
  <si>
    <t xml:space="preserve">Audi Q5</t>
  </si>
  <si>
    <t>WT-RGW6685</t>
  </si>
  <si>
    <t>WT-RGW1847-11</t>
  </si>
  <si>
    <t>WT-RGW1847-9</t>
  </si>
  <si>
    <t>WT-RGW1847-5</t>
  </si>
  <si>
    <t xml:space="preserve">Porsche Macan</t>
  </si>
  <si>
    <t>WT-RGW1847-8</t>
  </si>
  <si>
    <t>WT-RGW1847-12</t>
  </si>
  <si>
    <t xml:space="preserve">Porsche Panamera</t>
  </si>
  <si>
    <t>19*10.5</t>
  </si>
  <si>
    <t>WT-RGW1847</t>
  </si>
  <si>
    <t>68/61</t>
  </si>
  <si>
    <t>WT-RGW1847-1</t>
  </si>
  <si>
    <t>WT-RGW1841</t>
  </si>
  <si>
    <t>WT-RGW1841-9</t>
  </si>
  <si>
    <t xml:space="preserve">Porsche Cayenne</t>
  </si>
  <si>
    <t>WT-RGW1841-13</t>
  </si>
  <si>
    <t>WT-RGW1841-14</t>
  </si>
  <si>
    <t>WT-RGW1841-2</t>
  </si>
  <si>
    <t xml:space="preserve">Porsche Cayenne</t>
  </si>
  <si>
    <t>WT-RGW1841-16</t>
  </si>
  <si>
    <t>WT-RGW1841-4</t>
  </si>
  <si>
    <t xml:space="preserve">Porsche Macan</t>
  </si>
  <si>
    <t>WT-LH1841-2</t>
  </si>
  <si>
    <t>GVI-POC08H</t>
  </si>
  <si>
    <t xml:space="preserve">Porsche 718</t>
  </si>
  <si>
    <t>WT-RGW1841-11</t>
  </si>
  <si>
    <t xml:space="preserve">Porsche Cayenne</t>
  </si>
  <si>
    <t>WT-RGW1841-15</t>
  </si>
  <si>
    <t>WT-RGW1841-3</t>
  </si>
  <si>
    <t>WT-RGW1841-17</t>
  </si>
  <si>
    <t>WT-RGW1023-17</t>
  </si>
  <si>
    <t>WT-RGW1023-18</t>
  </si>
  <si>
    <t>WT-RGW1023-10</t>
  </si>
  <si>
    <t>WT-RGW1023-9</t>
  </si>
  <si>
    <t>WT-RGW1023-12</t>
  </si>
  <si>
    <t>WT-RGW1023-13</t>
  </si>
  <si>
    <t xml:space="preserve">графит мат</t>
  </si>
  <si>
    <t>WT-RGW1023-11</t>
  </si>
  <si>
    <t>WT-RGW1023-0</t>
  </si>
  <si>
    <t>WT-RGW1023-1</t>
  </si>
  <si>
    <t>WT-RGW1023-8</t>
  </si>
  <si>
    <t>WT-RGW1023-5</t>
  </si>
  <si>
    <t>WT-RGW1023-14</t>
  </si>
  <si>
    <t>WT-RGW1023-15</t>
  </si>
  <si>
    <t xml:space="preserve">Porsche Macan</t>
  </si>
  <si>
    <t>WT-RGW1861-12</t>
  </si>
  <si>
    <t>WT-RGW1861-9</t>
  </si>
  <si>
    <t>WT-RGW1861-4</t>
  </si>
  <si>
    <t>WT-RGW1861-5</t>
  </si>
  <si>
    <t>WT-LH1861-1</t>
  </si>
  <si>
    <t>50/46</t>
  </si>
  <si>
    <t>WT-LH1861-2</t>
  </si>
  <si>
    <t>WT-LH1861-6</t>
  </si>
  <si>
    <t>WT-LH1861-5</t>
  </si>
  <si>
    <t>WT-LH1861-3</t>
  </si>
  <si>
    <t>WT-LH1861-4</t>
  </si>
  <si>
    <t>WT-RGW1861-7</t>
  </si>
  <si>
    <t>WT-RGW1024</t>
  </si>
  <si>
    <t>WT-RGW1828-1</t>
  </si>
  <si>
    <t>WT-RGW592-3</t>
  </si>
  <si>
    <t>WT-RGW592-9</t>
  </si>
  <si>
    <t>WT-RGW592-4</t>
  </si>
  <si>
    <t>WT-RGW592-13</t>
  </si>
  <si>
    <t>WT-RGW592</t>
  </si>
  <si>
    <t>WT-RGW592-7</t>
  </si>
  <si>
    <t>WT-RGW592-12</t>
  </si>
  <si>
    <t xml:space="preserve">графит мат</t>
  </si>
  <si>
    <t>WT-RGW592-5</t>
  </si>
  <si>
    <t>WT-RGW592-8</t>
  </si>
  <si>
    <t>WT-RGW592-6</t>
  </si>
  <si>
    <t>WT-LH1879-2</t>
  </si>
  <si>
    <t>WT-RGW400</t>
  </si>
  <si>
    <t>WT-RGW400-2</t>
  </si>
  <si>
    <t>WT-RGW1025-2</t>
  </si>
  <si>
    <t>WT-RGW1025-3</t>
  </si>
  <si>
    <t>WT-RGW1834-1</t>
  </si>
  <si>
    <t>WT-RGW1834-3</t>
  </si>
  <si>
    <t>WT-RGW1041-1</t>
  </si>
  <si>
    <t>WT-RGW1041-2</t>
  </si>
  <si>
    <t>WT-RGW596</t>
  </si>
  <si>
    <t>WT-RGW2268-1</t>
  </si>
  <si>
    <t>21*11.5</t>
  </si>
  <si>
    <t>WT-RGW2268-2</t>
  </si>
  <si>
    <t>WT-RGW2268-3</t>
  </si>
  <si>
    <t xml:space="preserve">золото мат</t>
  </si>
  <si>
    <t>WT-RGW2019-4</t>
  </si>
  <si>
    <t>WT-RGW2019-5</t>
  </si>
  <si>
    <t>WT-RGW2019-6</t>
  </si>
  <si>
    <t>WT-RGW2019-7</t>
  </si>
  <si>
    <t>WT-RGW2019-8</t>
  </si>
  <si>
    <t>WT-RGW2019-9</t>
  </si>
  <si>
    <t>WT-RGW2019-1</t>
  </si>
  <si>
    <t>WT-RGW2019-2</t>
  </si>
  <si>
    <t xml:space="preserve">графит мат + проточка</t>
  </si>
  <si>
    <t>WT-RGW2019-3</t>
  </si>
  <si>
    <t>WT-RGW262-17</t>
  </si>
  <si>
    <t>WT-RGW458</t>
  </si>
  <si>
    <t>WT-RGW1058</t>
  </si>
  <si>
    <t>61/60</t>
  </si>
  <si>
    <t>WT-RGW1058-2</t>
  </si>
  <si>
    <t>WT-RGW1848-1</t>
  </si>
  <si>
    <t>WT-RGW1848-2</t>
  </si>
  <si>
    <t>WT-RGW1022-7</t>
  </si>
  <si>
    <t>WT-RGW1022-1</t>
  </si>
  <si>
    <t>20x9</t>
  </si>
  <si>
    <t>20x10</t>
  </si>
  <si>
    <t>WT-RGW1022-8</t>
  </si>
  <si>
    <t>WT-RGW1022-4</t>
  </si>
  <si>
    <t>21x9</t>
  </si>
  <si>
    <t>21x10</t>
  </si>
  <si>
    <t>WT-RGW1022</t>
  </si>
  <si>
    <t>WT-RGW4857-1</t>
  </si>
  <si>
    <t>WT-RGW4857</t>
  </si>
  <si>
    <t>WT-RGW591-1</t>
  </si>
  <si>
    <t>WT-RGW591</t>
  </si>
  <si>
    <t>WT-RGW1044</t>
  </si>
  <si>
    <t>WT-RGW1562-2</t>
  </si>
  <si>
    <t xml:space="preserve">Porsche Taycan</t>
  </si>
  <si>
    <t>WT-RGW1562-4</t>
  </si>
  <si>
    <t>WT-YD12143-1</t>
  </si>
  <si>
    <t xml:space="preserve">Porsche 911</t>
  </si>
  <si>
    <t>WT-YD12143-2</t>
  </si>
  <si>
    <t>WT-PRGW5262</t>
  </si>
  <si>
    <t>WT-PRGW5262-1</t>
  </si>
  <si>
    <t xml:space="preserve">Фото</t>
  </si>
  <si>
    <t xml:space="preserve">Артикул</t>
  </si>
  <si>
    <t xml:space="preserve">Размер (диаметр*ширина)</t>
  </si>
  <si>
    <t xml:space="preserve">ЦО (CB)</t>
  </si>
  <si>
    <t>COLOUR</t>
  </si>
  <si>
    <t xml:space="preserve">Кол-во, компл.</t>
  </si>
  <si>
    <t xml:space="preserve">Отверстий под болты</t>
  </si>
  <si>
    <t>WT-RGW2348-2</t>
  </si>
  <si>
    <t xml:space="preserve">Range Rover</t>
  </si>
  <si>
    <t xml:space="preserve">конусная посадка</t>
  </si>
  <si>
    <t>WT-RGW2318-2</t>
  </si>
  <si>
    <t xml:space="preserve">графит мат</t>
  </si>
  <si>
    <t>WT-RGW2318</t>
  </si>
  <si>
    <t>WT-RGW2318-1</t>
  </si>
  <si>
    <t>WT-RGW2290</t>
  </si>
  <si>
    <t>WT-RGW368-1</t>
  </si>
  <si>
    <t xml:space="preserve">чёрный глянец + розовый</t>
  </si>
  <si>
    <t>WT-RGW368-2</t>
  </si>
  <si>
    <t>WT-RGW368</t>
  </si>
  <si>
    <t>WT-TRGW121-1</t>
  </si>
  <si>
    <t>WT-TRGW121-2</t>
  </si>
  <si>
    <t>WT-HD130</t>
  </si>
  <si>
    <t>WT-RGW2266-2</t>
  </si>
  <si>
    <t>WT-RGW112-17</t>
  </si>
  <si>
    <t>WT-RGW112-13</t>
  </si>
  <si>
    <t>WT-RGW112-15</t>
  </si>
  <si>
    <t>WT-RGW112-12</t>
  </si>
  <si>
    <t>WT-RGW112-7</t>
  </si>
  <si>
    <t>WT-RGW112-14</t>
  </si>
  <si>
    <t>WT-RGW112-8</t>
  </si>
  <si>
    <t>WT-RGW112-9</t>
  </si>
  <si>
    <t>WT-RGW112-1</t>
  </si>
  <si>
    <t>WT-RGW112-2</t>
  </si>
  <si>
    <t>WT-RGW112-10</t>
  </si>
  <si>
    <t>WT-RGW112-11</t>
  </si>
  <si>
    <t>WT-RGW112-4</t>
  </si>
  <si>
    <t>WT-RGW112-旧</t>
  </si>
  <si>
    <t>WT-RGW112-5</t>
  </si>
  <si>
    <t>WT-RGW112</t>
  </si>
  <si>
    <t>WT-RGW2003</t>
  </si>
  <si>
    <t>WT-RGW2003-2</t>
  </si>
  <si>
    <t>WT-RGW2003-9</t>
  </si>
  <si>
    <t>WT-RGW2003-10</t>
  </si>
  <si>
    <t>WT-RGW2003-3A</t>
  </si>
  <si>
    <t>WT-RGW2003-3</t>
  </si>
  <si>
    <t xml:space="preserve">плоская посадка</t>
  </si>
  <si>
    <t>WT-RGW2003-4</t>
  </si>
  <si>
    <t>WT-RGW2003-7</t>
  </si>
  <si>
    <t>WT-RGW2003-5</t>
  </si>
  <si>
    <t>WT-RGW2003-6</t>
  </si>
  <si>
    <t>WT-RGW2003-8</t>
  </si>
  <si>
    <t>WT-CTRGW118-18</t>
  </si>
  <si>
    <t xml:space="preserve">чёрный глянец + розовый</t>
  </si>
  <si>
    <t>WT-CTRGW118-2</t>
  </si>
  <si>
    <t xml:space="preserve">чёрный глянец</t>
  </si>
  <si>
    <t>WT-CTRGW118-3</t>
  </si>
  <si>
    <t>WT-CTRGW118-14</t>
  </si>
  <si>
    <t>WT-CTRGW118-21</t>
  </si>
  <si>
    <t xml:space="preserve">чёрный мат</t>
  </si>
  <si>
    <t>WT-CTRGW118-12/13</t>
  </si>
  <si>
    <t>WT-CTRGW118-15</t>
  </si>
  <si>
    <t xml:space="preserve">чёрный + проточка</t>
  </si>
  <si>
    <t>WT-CTRGW118-23</t>
  </si>
  <si>
    <t xml:space="preserve">чёрный мат</t>
  </si>
  <si>
    <t>WT-RGW2001</t>
  </si>
  <si>
    <t>WT-RGW2001-1</t>
  </si>
  <si>
    <t>WT-RGW2001-2</t>
  </si>
  <si>
    <t>WT-RGW669</t>
  </si>
  <si>
    <t>WT-RGW669-1</t>
  </si>
  <si>
    <t>WT-RGW669-5</t>
  </si>
  <si>
    <t>WT-RGW669-6</t>
  </si>
  <si>
    <t>WT-RGW669-2</t>
  </si>
  <si>
    <t>WT-RGW669-4</t>
  </si>
  <si>
    <t>WT-RGW669-3</t>
  </si>
  <si>
    <t>WT-RGW122</t>
  </si>
  <si>
    <t>WT-RGW667-6</t>
  </si>
  <si>
    <t>WT-RGW667-4</t>
  </si>
  <si>
    <t>WT-RGW667-1</t>
  </si>
  <si>
    <t>WT-RGW667-2</t>
  </si>
  <si>
    <t>WT-RGW667-3</t>
  </si>
  <si>
    <t>WT-RGW113</t>
  </si>
  <si>
    <t xml:space="preserve">графит + проточка</t>
  </si>
  <si>
    <t>WT-RGW113-1</t>
  </si>
  <si>
    <t>WT-RGW126-1</t>
  </si>
  <si>
    <t>WT-RGW126-2</t>
  </si>
  <si>
    <t>WT-RGW668-4</t>
  </si>
  <si>
    <t xml:space="preserve">Range Rover</t>
  </si>
  <si>
    <t>21X9.5</t>
  </si>
  <si>
    <t>WT-RGW668-2</t>
  </si>
  <si>
    <t>22X9.5</t>
  </si>
  <si>
    <t>WT-RGW668-3</t>
  </si>
  <si>
    <t>23X9.5</t>
  </si>
  <si>
    <t>WT-RGW119</t>
  </si>
  <si>
    <t>WT-RGW119-1</t>
  </si>
  <si>
    <t xml:space="preserve">полировка</t>
  </si>
  <si>
    <t>WT-RGW709-1</t>
  </si>
  <si>
    <t>WT-RGW709</t>
  </si>
  <si>
    <t>WT-RGW487-1</t>
  </si>
  <si>
    <t xml:space="preserve">Range Rover</t>
  </si>
  <si>
    <t>WT-RGW487</t>
  </si>
  <si>
    <t>WT-RGW158-1</t>
  </si>
  <si>
    <t xml:space="preserve">Land Rover Discovery 5</t>
  </si>
  <si>
    <t>WT-RGW158</t>
  </si>
  <si>
    <t>WT-TRGW101-00</t>
  </si>
  <si>
    <t xml:space="preserve">Range Rover</t>
  </si>
  <si>
    <t xml:space="preserve">чёрный глянец + фрезеровка</t>
  </si>
  <si>
    <t>WT-TRGW101</t>
  </si>
  <si>
    <t xml:space="preserve">чёрный глянец + фрезеровка</t>
  </si>
  <si>
    <t>WT-RGW1835-1</t>
  </si>
  <si>
    <t xml:space="preserve">Range Rover Velar</t>
  </si>
  <si>
    <t>WT-RGW1835-12</t>
  </si>
  <si>
    <t xml:space="preserve">Range Rover Blade</t>
  </si>
  <si>
    <t>WT-RGW1835-2</t>
  </si>
  <si>
    <t>WT-RGW1835-3</t>
  </si>
  <si>
    <t>WT-RGW1835-9</t>
  </si>
  <si>
    <t>WT-RGW1835-4</t>
  </si>
  <si>
    <t>GVI-LAN02C</t>
  </si>
  <si>
    <t>21x9.5</t>
  </si>
  <si>
    <t>GVI-LAN02L</t>
  </si>
  <si>
    <t xml:space="preserve">Range Rover Blade (плавающий колпак)</t>
  </si>
  <si>
    <t>WT-RGW1001</t>
  </si>
  <si>
    <t>WT-RGW1835-13</t>
  </si>
  <si>
    <t>WT-RGW1835-0</t>
  </si>
  <si>
    <t xml:space="preserve">Range Rover Blade (плавающий колпак)</t>
  </si>
  <si>
    <t>WT-LH1835-1</t>
  </si>
  <si>
    <t>WT-LH1835-2</t>
  </si>
  <si>
    <t>WT-RGW1835-5</t>
  </si>
  <si>
    <t>WT-RGW1835-14</t>
  </si>
  <si>
    <t>WT-RGW1835-6</t>
  </si>
  <si>
    <t>WT-RGW1835-15</t>
  </si>
  <si>
    <t>WT-RGW1835-10</t>
  </si>
  <si>
    <t xml:space="preserve">Range Rover Blade</t>
  </si>
  <si>
    <t>WT-RGW1891-11</t>
  </si>
  <si>
    <t>WT-RGW1891-10</t>
  </si>
  <si>
    <t>WT-RGW1891-15</t>
  </si>
  <si>
    <t>WT-RGW1891-5</t>
  </si>
  <si>
    <t>WT-RGW1891-9</t>
  </si>
  <si>
    <t>WT-RGW1891-3</t>
  </si>
  <si>
    <t>WT-RGW1891-0</t>
  </si>
  <si>
    <t>WT-RGW1891-13</t>
  </si>
  <si>
    <t>WT-RGW1891-2</t>
  </si>
  <si>
    <t>WT-RGW1891-14</t>
  </si>
  <si>
    <t xml:space="preserve">Land Rover</t>
  </si>
  <si>
    <t>WT-LH1891-3</t>
  </si>
  <si>
    <t>WT-LH1891-8</t>
  </si>
  <si>
    <t>WT-RGW1891-7</t>
  </si>
  <si>
    <t>WT-RGW1891-12</t>
  </si>
  <si>
    <t>WT-RGW1891-4</t>
  </si>
  <si>
    <t>WT-RGW1891-6</t>
  </si>
  <si>
    <t>WT-RGW1891-1</t>
  </si>
  <si>
    <t>GVI-LAN09A</t>
  </si>
  <si>
    <t>GVI-MS01E</t>
  </si>
  <si>
    <t xml:space="preserve">Range Rover (дизайн 1)</t>
  </si>
  <si>
    <t>WT-RGW1826-18</t>
  </si>
  <si>
    <t xml:space="preserve">Range Rover (дизайн 2)</t>
  </si>
  <si>
    <t>WT-RGW1826+1</t>
  </si>
  <si>
    <t>WT-RGW1826-2</t>
  </si>
  <si>
    <t>WT-LH1826-2</t>
  </si>
  <si>
    <t>WT-RGW1826-8</t>
  </si>
  <si>
    <t>WT-RGW1826-10</t>
  </si>
  <si>
    <t>WT-RGW1826-4</t>
  </si>
  <si>
    <t>GVI-RR01E</t>
  </si>
  <si>
    <t>WT-RGW1826-11</t>
  </si>
  <si>
    <t xml:space="preserve">Range Rover (дизайн 2)</t>
  </si>
  <si>
    <t>21*9/9.5</t>
  </si>
  <si>
    <t>WT-RGW1826-12</t>
  </si>
  <si>
    <t>WT-RGW1826-17</t>
  </si>
  <si>
    <t>WT-RGW1826-13</t>
  </si>
  <si>
    <t>WT-LH1855</t>
  </si>
  <si>
    <t xml:space="preserve">Range Rover Black Diamond</t>
  </si>
  <si>
    <t>72.56</t>
  </si>
  <si>
    <t>WT-RGW1864-2</t>
  </si>
  <si>
    <t xml:space="preserve">Range Rover (дизайн 5)</t>
  </si>
  <si>
    <t>WT-RGW1864-3</t>
  </si>
  <si>
    <t>WT-RGW1864-4</t>
  </si>
  <si>
    <t>WT-JA3007</t>
  </si>
  <si>
    <t xml:space="preserve">Range Rover (дизайн 4)</t>
  </si>
  <si>
    <t xml:space="preserve">     </t>
  </si>
  <si>
    <t>WT-RGW376</t>
  </si>
  <si>
    <t xml:space="preserve">чёрный + полировка</t>
  </si>
  <si>
    <t>WT-RGW376-1</t>
  </si>
  <si>
    <t>WT-RGW475-2</t>
  </si>
  <si>
    <t>WT-RGW475</t>
  </si>
  <si>
    <t>WT-RGW475-1</t>
  </si>
  <si>
    <t>WT-RGW1827</t>
  </si>
  <si>
    <t>WT-RGW1827-1</t>
  </si>
  <si>
    <t>WT-RGW708-3</t>
  </si>
  <si>
    <t>WT-RGW2317-1</t>
  </si>
  <si>
    <t xml:space="preserve">Land Rover Defender</t>
  </si>
  <si>
    <t>WT-RGW2334-2</t>
  </si>
  <si>
    <t xml:space="preserve">бронза</t>
  </si>
  <si>
    <t>BRONZE</t>
  </si>
  <si>
    <t>WT-RGW2334-1</t>
  </si>
  <si>
    <t>WT-RGW2334-1A</t>
  </si>
  <si>
    <t>WT-RGW2316-1</t>
  </si>
  <si>
    <t xml:space="preserve">бронза</t>
  </si>
  <si>
    <t>WT-RGW1223-2</t>
  </si>
  <si>
    <t>WT-RGW1223</t>
  </si>
  <si>
    <t>WT-RGW1223-1</t>
  </si>
  <si>
    <t xml:space="preserve">чёрный мат + проточка</t>
  </si>
  <si>
    <t>WT-RGW2254-1</t>
  </si>
  <si>
    <t xml:space="preserve">чёрный глянец</t>
  </si>
  <si>
    <t>WT-RGW0161-1</t>
  </si>
  <si>
    <t>WT-RGW0161-2</t>
  </si>
  <si>
    <t>WT-RGW0161</t>
  </si>
  <si>
    <t>WT-RGW0133-1</t>
  </si>
  <si>
    <t>WT-RGW0133</t>
  </si>
  <si>
    <t>WT-RGW0133-3</t>
  </si>
  <si>
    <t>WT-RGW0133-2</t>
  </si>
  <si>
    <t xml:space="preserve">бронза мат</t>
  </si>
  <si>
    <t>WT-RGW1829-2</t>
  </si>
  <si>
    <t xml:space="preserve">чёрный + полировка</t>
  </si>
  <si>
    <t>WT-RGW1824</t>
  </si>
  <si>
    <t>WT-RGW1822</t>
  </si>
  <si>
    <t>WT-RGW1822-1</t>
  </si>
  <si>
    <t>WT-RGW1822-2</t>
  </si>
  <si>
    <t>WT-RGW792-2</t>
  </si>
  <si>
    <t>WT-RGW792-1</t>
  </si>
  <si>
    <t xml:space="preserve">белый</t>
  </si>
  <si>
    <t>WT-RGW2294</t>
  </si>
  <si>
    <t xml:space="preserve">чёрный глянец</t>
  </si>
  <si>
    <t>WT-RGW2278</t>
  </si>
  <si>
    <t xml:space="preserve">белый</t>
  </si>
  <si>
    <t>WT-RGW793-2</t>
  </si>
  <si>
    <t xml:space="preserve">чёрный мат</t>
  </si>
  <si>
    <t>WT-RGW793-1</t>
  </si>
  <si>
    <t>WT-RGW793-3</t>
  </si>
  <si>
    <t>WT-RGW2242</t>
  </si>
  <si>
    <t xml:space="preserve">чёрный глянец + розовый</t>
  </si>
  <si>
    <t>WT-RGW1854-2</t>
  </si>
  <si>
    <t xml:space="preserve">Maserati Ghibli</t>
  </si>
  <si>
    <t>WT-RGW1854-3</t>
  </si>
  <si>
    <t>WT-RGW1854-4</t>
  </si>
  <si>
    <t>WT-RGW1854-6</t>
  </si>
  <si>
    <t>WT-RGW1854-7</t>
  </si>
  <si>
    <t>WT-RGW1854-8</t>
  </si>
  <si>
    <t xml:space="preserve">серый глянец</t>
  </si>
  <si>
    <t>WT-RGW1854-9</t>
  </si>
  <si>
    <r>
      <rPr>
        <b/>
        <sz val="11"/>
        <rFont val="宋体"/>
        <charset val="134"/>
      </rPr>
      <t>21*</t>
    </r>
    <r>
      <rPr>
        <b/>
        <sz val="11"/>
        <color indexed="10"/>
        <rFont val="宋体"/>
        <charset val="134"/>
      </rPr>
      <t>9</t>
    </r>
  </si>
  <si>
    <t>WT-RGW1854-10</t>
  </si>
  <si>
    <t>WT-LH1005</t>
  </si>
  <si>
    <t xml:space="preserve">Maserati Levante</t>
  </si>
  <si>
    <t>WT-LH1005-1</t>
  </si>
  <si>
    <t>WT-RGW1028</t>
  </si>
  <si>
    <t>WT-RGW1028-1</t>
  </si>
  <si>
    <t>WT-MRGW1855</t>
  </si>
  <si>
    <t xml:space="preserve">Maserati Ghibli</t>
  </si>
  <si>
    <t>WT-MRGW1855-2</t>
  </si>
  <si>
    <t>WT-MRGW1855-3</t>
  </si>
  <si>
    <t>WT-RGW5013</t>
  </si>
  <si>
    <t xml:space="preserve">Maserati</t>
  </si>
  <si>
    <t>WT-D205013</t>
  </si>
  <si>
    <t>WT-D215013</t>
  </si>
  <si>
    <t>WT-RGW0301-1</t>
  </si>
  <si>
    <t>WT-RGW0301-2</t>
  </si>
  <si>
    <t>WT-TRGW2325</t>
  </si>
  <si>
    <t xml:space="preserve">Cadillac XT6</t>
  </si>
  <si>
    <t>6*120</t>
  </si>
  <si>
    <t>WT-RGW2324</t>
  </si>
  <si>
    <t xml:space="preserve">чёрный глянец</t>
  </si>
  <si>
    <t>WT-RGW2324-1</t>
  </si>
  <si>
    <t>WT-RGW2267</t>
  </si>
  <si>
    <t xml:space="preserve">Cadillac Escalade</t>
  </si>
  <si>
    <t>WT-RGW2282</t>
  </si>
  <si>
    <t>WT-RGW5627-1</t>
  </si>
  <si>
    <t xml:space="preserve">Cadillac CT5 / CT6 / XTS</t>
  </si>
  <si>
    <t>WT-RGW5627-5</t>
  </si>
  <si>
    <t>WT-RGW5627-3</t>
  </si>
  <si>
    <t>WT-RGW5627-6</t>
  </si>
  <si>
    <t>WT-RGW5627-4</t>
  </si>
  <si>
    <t>WT-RGW5627</t>
  </si>
  <si>
    <t>WT-RGW5628</t>
  </si>
  <si>
    <t>WT-RGW5628-1</t>
  </si>
  <si>
    <t>WT-RGW5628-5</t>
  </si>
  <si>
    <t>WT-RGW5628-2</t>
  </si>
  <si>
    <t>WT-RGW5628-3</t>
  </si>
  <si>
    <t>WT-RGW5628-4</t>
  </si>
  <si>
    <t>WT-RGW5629</t>
  </si>
  <si>
    <t>WT-RGW5629-1</t>
  </si>
  <si>
    <t>WT-RGW100-2</t>
  </si>
  <si>
    <t>WT-RGW100-1</t>
  </si>
  <si>
    <t>WT-RGW1020-1</t>
  </si>
  <si>
    <t xml:space="preserve">Cadillac ATS / CT4</t>
  </si>
  <si>
    <t>WT-RGW1020-2</t>
  </si>
  <si>
    <t>WT-RGW1020-3</t>
  </si>
  <si>
    <t>WT-RGW1021</t>
  </si>
  <si>
    <t xml:space="preserve">Cadillac ATS-V / CT4</t>
  </si>
  <si>
    <t>WT-RGW1021-2</t>
  </si>
  <si>
    <t>WT-RGW1570/2325</t>
  </si>
  <si>
    <t>WT-RGW2325</t>
  </si>
  <si>
    <t>GVI-JAG01A</t>
  </si>
  <si>
    <t xml:space="preserve">Jaguar XF</t>
  </si>
  <si>
    <t>WT-RGW001-3</t>
  </si>
  <si>
    <t>WT-RGW001-2</t>
  </si>
  <si>
    <t>WT-RGW1874-3</t>
  </si>
  <si>
    <t xml:space="preserve">Jaguar XJL</t>
  </si>
  <si>
    <t>WT-RGW1874-1</t>
  </si>
  <si>
    <t>WT-RGW1874</t>
  </si>
  <si>
    <t>WT-D205454</t>
  </si>
  <si>
    <t xml:space="preserve">Jaguar</t>
  </si>
  <si>
    <t>WT-CTW26</t>
  </si>
  <si>
    <t xml:space="preserve">Ferrari</t>
  </si>
  <si>
    <t>WT-RGW5464</t>
  </si>
  <si>
    <t xml:space="preserve">Bentley</t>
  </si>
  <si>
    <t>WT-RGW1741</t>
  </si>
  <si>
    <t>WT-RGW1741-2</t>
  </si>
  <si>
    <t xml:space="preserve">Bentley Flying Spur</t>
  </si>
  <si>
    <t>WT-RGW1741-3</t>
  </si>
  <si>
    <t>WT-RGW3043</t>
  </si>
  <si>
    <t>WT-ZRGW1737-1</t>
  </si>
  <si>
    <t>WT-RGW1737-2</t>
  </si>
  <si>
    <t>WT-BL09</t>
  </si>
  <si>
    <t xml:space="preserve">Bentley Bentayga</t>
  </si>
  <si>
    <t>WT-RGW1031</t>
  </si>
  <si>
    <t xml:space="preserve">Rolls-Royce Ghost (пред. поколение)</t>
  </si>
  <si>
    <t>WT-RGW1031-1</t>
  </si>
  <si>
    <t xml:space="preserve">Rolls-Royce Ghost</t>
  </si>
  <si>
    <t>WT-RGW2314</t>
  </si>
  <si>
    <t xml:space="preserve">Rolls-Royce Cullinan</t>
  </si>
  <si>
    <t>WT-TRGW2311</t>
  </si>
  <si>
    <t xml:space="preserve">чёрный + полировка (лев./прав.)</t>
  </si>
  <si>
    <t>WT-RGW1746</t>
  </si>
  <si>
    <t>WT-2312697</t>
  </si>
  <si>
    <t xml:space="preserve">Rolls-Royce Spectre</t>
  </si>
  <si>
    <t>24*9</t>
  </si>
  <si>
    <t>24*10.5</t>
  </si>
  <si>
    <t>WT-RGW2312</t>
  </si>
  <si>
    <t xml:space="preserve">Jetour</t>
  </si>
  <si>
    <t>WT-RGW2312-1</t>
  </si>
  <si>
    <t>WT-RGW1011-1M1</t>
  </si>
  <si>
    <t xml:space="preserve">чёрный мат + декоративные болты</t>
  </si>
  <si>
    <t>WT-RGW4659-1M2</t>
  </si>
  <si>
    <t>WT-RGW4659-1M1</t>
  </si>
  <si>
    <t>WT-RGW4659-1M3</t>
  </si>
  <si>
    <t>WT-RGW886-1</t>
  </si>
  <si>
    <t xml:space="preserve">Fangchengbao Bao 5</t>
  </si>
  <si>
    <t>WT-RGW886-2</t>
  </si>
  <si>
    <t>WT-RGW887</t>
  </si>
  <si>
    <t>WT-RGW888</t>
  </si>
  <si>
    <t xml:space="preserve">чёрный мат</t>
  </si>
  <si>
    <t>WT-FSK723</t>
  </si>
  <si>
    <t xml:space="preserve">Jeep Wrangler</t>
  </si>
  <si>
    <t>17*8.5</t>
  </si>
  <si>
    <t>5*127</t>
  </si>
  <si>
    <t>WT-FSK724</t>
  </si>
  <si>
    <t xml:space="preserve">чёрный мат + титан</t>
  </si>
  <si>
    <t>WT-FSK880</t>
  </si>
  <si>
    <t xml:space="preserve">Tank 300</t>
  </si>
  <si>
    <t>17*9</t>
  </si>
  <si>
    <t xml:space="preserve">чёрный мат + проточка, бронзовый лак</t>
  </si>
  <si>
    <t>WT-FSK881</t>
  </si>
  <si>
    <t>WT-FSK882-1</t>
  </si>
  <si>
    <t>WT-FSK882-2</t>
  </si>
  <si>
    <t>WT-FSK883-2</t>
  </si>
  <si>
    <t>WT-FSK879</t>
  </si>
  <si>
    <t>WT-FSK885</t>
  </si>
  <si>
    <t xml:space="preserve">чёрный мат + проточка, титан мат</t>
  </si>
  <si>
    <t>WT-RGW0207S</t>
  </si>
  <si>
    <t>WT-RGW0206S-1</t>
  </si>
  <si>
    <t>WT-RGW0206S-2</t>
  </si>
  <si>
    <t>WT-RGW188S</t>
  </si>
  <si>
    <t>WT-RGW188S-1</t>
  </si>
  <si>
    <t>WT-TRGW0301-1</t>
  </si>
  <si>
    <t xml:space="preserve">чёрный обод + титан</t>
  </si>
  <si>
    <t>WT-TRGW001-1</t>
  </si>
  <si>
    <t>WT-TRGW001-2</t>
  </si>
  <si>
    <t>WT-TRGW002-1</t>
  </si>
  <si>
    <t>WT-TRGW002-2</t>
  </si>
  <si>
    <t>WT-TRGW002-3</t>
  </si>
  <si>
    <t>WT-TRGW002-4</t>
  </si>
  <si>
    <t>WT-TRGW002-5</t>
  </si>
  <si>
    <t>WT-TRGW003-1</t>
  </si>
  <si>
    <t>WT-TRGW003-2</t>
  </si>
  <si>
    <r>
      <rPr>
        <b/>
        <sz val="11"/>
        <rFont val="宋体"/>
        <charset val="134"/>
      </rPr>
      <t>WT-</t>
    </r>
    <r>
      <rPr>
        <b/>
        <sz val="12"/>
        <rFont val="宋体"/>
        <charset val="134"/>
      </rPr>
      <t>HN110-1</t>
    </r>
  </si>
  <si>
    <t xml:space="preserve">Tank 500</t>
  </si>
  <si>
    <t>WT-HN185-1</t>
  </si>
  <si>
    <t>WT-C242432</t>
  </si>
  <si>
    <t xml:space="preserve">чёрный мат + бронза</t>
  </si>
  <si>
    <t>WT-C242433</t>
  </si>
  <si>
    <t>WT-RGW2276-1</t>
  </si>
  <si>
    <t>WT-RGW2276-2</t>
  </si>
  <si>
    <t>WT-RGW2277-1</t>
  </si>
  <si>
    <t>WT-RGW2277-2</t>
  </si>
  <si>
    <t>WT-RGW2249-1</t>
  </si>
  <si>
    <t xml:space="preserve">Tank 700</t>
  </si>
  <si>
    <t>WT-RGW2249-2</t>
  </si>
  <si>
    <t>WT-RGW2249-3</t>
  </si>
  <si>
    <t xml:space="preserve">красная бронза глянец</t>
  </si>
  <si>
    <t>WT-RGW2249-4</t>
  </si>
  <si>
    <t>WHITE</t>
  </si>
  <si>
    <t xml:space="preserve">чёрный мат</t>
  </si>
  <si>
    <t xml:space="preserve">стальной серый + проточка</t>
  </si>
  <si>
    <t>Gunmetal Machine Face</t>
  </si>
  <si>
    <t xml:space="preserve">графит</t>
  </si>
  <si>
    <t>gery</t>
  </si>
  <si>
    <t>hyper black</t>
  </si>
  <si>
    <t>hyper silver</t>
  </si>
  <si>
    <t xml:space="preserve">чёрный глянец + полировка</t>
  </si>
  <si>
    <t>Gloss Black Polisph Face</t>
  </si>
  <si>
    <t xml:space="preserve">чёрный глянец + полировка</t>
  </si>
  <si>
    <t xml:space="preserve">чёрный глянец + полировка</t>
  </si>
  <si>
    <t xml:space="preserve">чёрный глянец + полировка</t>
  </si>
  <si>
    <t xml:space="preserve">Gloss Black LIP </t>
  </si>
  <si>
    <t xml:space="preserve">чёрный + проточка под лаком</t>
  </si>
  <si>
    <t>Black Machine+BLACK COATING</t>
  </si>
  <si>
    <t xml:space="preserve">чёрный + проточка под серым лаком</t>
  </si>
  <si>
    <t>Black Machine+GREY COATING</t>
  </si>
  <si>
    <t xml:space="preserve">чёрный + проточка под лаком</t>
  </si>
  <si>
    <t xml:space="preserve">чёрный + проточка (правое вращение)</t>
  </si>
  <si>
    <t>GLOSS Black Machine Face</t>
  </si>
  <si>
    <t xml:space="preserve">чёрный + проточка (левое вращение)</t>
  </si>
  <si>
    <t>Gloss Black Polisph Lip</t>
  </si>
  <si>
    <t>Gloss Black</t>
  </si>
  <si>
    <t>Black+Polisph</t>
  </si>
  <si>
    <t xml:space="preserve">полировка + белые проточки</t>
  </si>
  <si>
    <t>polish+white</t>
  </si>
  <si>
    <t xml:space="preserve">полировка</t>
  </si>
  <si>
    <t>POLISH</t>
  </si>
  <si>
    <t xml:space="preserve">полировка</t>
  </si>
  <si>
    <t xml:space="preserve">полировка (лев./прав. вращение)</t>
  </si>
  <si>
    <t xml:space="preserve">бронза</t>
  </si>
  <si>
    <t>gloss black</t>
  </si>
  <si>
    <t xml:space="preserve">Gloss Black SET WHITE </t>
  </si>
  <si>
    <t xml:space="preserve">чёрный глянец + розовый</t>
  </si>
  <si>
    <t>Gloss Black SET PINK</t>
  </si>
  <si>
    <t xml:space="preserve">чёрный глянец + полированная лицевая</t>
  </si>
  <si>
    <t>Glossy black  polish face</t>
  </si>
  <si>
    <t xml:space="preserve">чёрный глянец + серебро</t>
  </si>
  <si>
    <t>Gloss Black SET silver</t>
  </si>
  <si>
    <t>Glossy black side grooves milled</t>
  </si>
  <si>
    <t xml:space="preserve">чёрный глянец + жёлтый обод</t>
  </si>
  <si>
    <t xml:space="preserve">GLOSS Black+yellowLIP </t>
  </si>
  <si>
    <t xml:space="preserve">чёрный глянец под бронзовым лаком</t>
  </si>
  <si>
    <t>GLOSS BLACK+BRONZE COATING</t>
  </si>
  <si>
    <t xml:space="preserve">чёрный глянец + проточка, накладки (правое вращение)</t>
  </si>
  <si>
    <t>GLOSS BLACK Machine Face</t>
  </si>
  <si>
    <t xml:space="preserve">чёрный глянец + проточка, накладки (левое вращение)</t>
  </si>
  <si>
    <t xml:space="preserve">чёрный глянец + проточка, вставки (правое вращение)</t>
  </si>
  <si>
    <t xml:space="preserve">чёрный глянец + проточка, вставки (левое вращение)</t>
  </si>
  <si>
    <t xml:space="preserve">чёрный глянец + проточка (без шильдика)</t>
  </si>
  <si>
    <t>Gloss Black Machine Face</t>
  </si>
  <si>
    <t xml:space="preserve">чёрный + проточка под серым лаком</t>
  </si>
  <si>
    <t xml:space="preserve">чёрный глянец + проточка (правое вращение)</t>
  </si>
  <si>
    <t xml:space="preserve">чёрный глянец + проточка (левое вращение)</t>
  </si>
  <si>
    <t xml:space="preserve">чёрный глянец + проточка (лев./прав. вращение)</t>
  </si>
  <si>
    <t>Black +red LIP</t>
  </si>
  <si>
    <t xml:space="preserve">чёрный + красный обод, карбоновый колпак</t>
  </si>
  <si>
    <t>Black Red Lip Carbon cover</t>
  </si>
  <si>
    <t xml:space="preserve">чёрный + оранжевый обод, карбоновый колпак</t>
  </si>
  <si>
    <t>Black orange Lip Carbon cover</t>
  </si>
  <si>
    <t xml:space="preserve">чёрный глянец + полировка</t>
  </si>
  <si>
    <t xml:space="preserve">чёрный глянец + полировка</t>
  </si>
  <si>
    <t xml:space="preserve">чёрный глянец + полированная лицевая</t>
  </si>
  <si>
    <t xml:space="preserve">чёрный глянец + полированная лицевая</t>
  </si>
  <si>
    <t xml:space="preserve">чёрный глянец + полировка</t>
  </si>
  <si>
    <t xml:space="preserve">чёрный глянец</t>
  </si>
  <si>
    <t xml:space="preserve">чёрный глянец</t>
  </si>
  <si>
    <t xml:space="preserve">GLOSS BLACK </t>
  </si>
  <si>
    <t xml:space="preserve">чёрный глянец + фрезерованная надпись</t>
  </si>
  <si>
    <t xml:space="preserve">чёрный глянец (малый колпак)</t>
  </si>
  <si>
    <t>Black</t>
  </si>
  <si>
    <t xml:space="preserve">чёрный глянец (правое вращение)</t>
  </si>
  <si>
    <t xml:space="preserve">чёрный глянец</t>
  </si>
  <si>
    <t>gloss black+red inside</t>
  </si>
  <si>
    <t>BLACK+WHITE</t>
  </si>
  <si>
    <t xml:space="preserve">чёрный + синий</t>
  </si>
  <si>
    <t>BLACK+BLUE</t>
  </si>
  <si>
    <t>BLACK+silver</t>
  </si>
  <si>
    <t>Brushed  silver</t>
  </si>
  <si>
    <t xml:space="preserve">серебро шлифовка</t>
  </si>
  <si>
    <t xml:space="preserve">порошковый грунт</t>
  </si>
  <si>
    <t xml:space="preserve">графит + проточка</t>
  </si>
  <si>
    <t xml:space="preserve">графит + проточка</t>
  </si>
  <si>
    <t xml:space="preserve">графит + серебристая лицевая</t>
  </si>
  <si>
    <t>Gun gray+silver</t>
  </si>
  <si>
    <t>GREY Polisph Lip</t>
  </si>
  <si>
    <t>GREY</t>
  </si>
  <si>
    <t xml:space="preserve">чёрный мат</t>
  </si>
  <si>
    <t xml:space="preserve">графит + проточка</t>
  </si>
  <si>
    <t xml:space="preserve">графит + проточка</t>
  </si>
  <si>
    <t xml:space="preserve">графит + проточка</t>
  </si>
  <si>
    <t>Gunmetal polish Face</t>
  </si>
  <si>
    <t>GERY</t>
  </si>
  <si>
    <t xml:space="preserve">графит + проточка</t>
  </si>
  <si>
    <t xml:space="preserve">графит мат + проточка обода</t>
  </si>
  <si>
    <t>MATTE Gunmetal lip</t>
  </si>
  <si>
    <t xml:space="preserve">графит мат + проточка</t>
  </si>
  <si>
    <t>MATTE GREY Machine Face</t>
  </si>
  <si>
    <t xml:space="preserve">графит мат</t>
  </si>
  <si>
    <t xml:space="preserve">графит мат + проточка обода</t>
  </si>
  <si>
    <t xml:space="preserve">графит мат</t>
  </si>
  <si>
    <t>matte bronze</t>
  </si>
  <si>
    <t xml:space="preserve">бронза мат</t>
  </si>
  <si>
    <t>MATTE BRONZE</t>
  </si>
  <si>
    <t xml:space="preserve">MATTE GOLD </t>
  </si>
  <si>
    <t xml:space="preserve">MATTE GERY </t>
  </si>
  <si>
    <t xml:space="preserve">графит мат</t>
  </si>
  <si>
    <t xml:space="preserve">графит мат</t>
  </si>
  <si>
    <t xml:space="preserve">бронза мат + проточка</t>
  </si>
  <si>
    <t>MATTE BRONZE Machine Face</t>
  </si>
  <si>
    <t xml:space="preserve">графит мат</t>
  </si>
  <si>
    <t xml:space="preserve">графит мат</t>
  </si>
  <si>
    <t xml:space="preserve">графит мат</t>
  </si>
  <si>
    <t>MATTE Black LIP</t>
  </si>
  <si>
    <t>MATTE Black Machine Face</t>
  </si>
  <si>
    <t>Matt Black Machine Red Lip</t>
  </si>
  <si>
    <t xml:space="preserve">чёрный мат</t>
  </si>
  <si>
    <t xml:space="preserve">чёрный мат</t>
  </si>
  <si>
    <t xml:space="preserve">чёрный мат</t>
  </si>
  <si>
    <t xml:space="preserve">чёрный мат</t>
  </si>
  <si>
    <t xml:space="preserve">чёрный мат</t>
  </si>
  <si>
    <t xml:space="preserve">чёрный мат + фрезерованная надпись</t>
  </si>
  <si>
    <t xml:space="preserve">чёрный мат</t>
  </si>
  <si>
    <t xml:space="preserve">чёрный мат</t>
  </si>
  <si>
    <t>MATTE Black+silver</t>
  </si>
  <si>
    <t xml:space="preserve">чёрный мат</t>
  </si>
  <si>
    <t xml:space="preserve">чёрный мат + проточка</t>
  </si>
  <si>
    <t xml:space="preserve">чёрный мат + проточка под чёрным лаком</t>
  </si>
  <si>
    <t>MATTEBlack Machine+BLACK COATING</t>
  </si>
  <si>
    <t xml:space="preserve">чёрный мат + проточка под серым лаком</t>
  </si>
  <si>
    <t>MATTEBlack Machine+GREY COATING</t>
  </si>
  <si>
    <t xml:space="preserve">чёрный мат + красный обод</t>
  </si>
  <si>
    <t>MATTE Black +red LIP</t>
  </si>
  <si>
    <t xml:space="preserve">чёрный мат</t>
  </si>
  <si>
    <t>silver Machine Face</t>
  </si>
  <si>
    <t xml:space="preserve">серебро + проточка (правое вращение)</t>
  </si>
  <si>
    <t xml:space="preserve">серебро + проточка</t>
  </si>
  <si>
    <t>silver</t>
  </si>
  <si>
    <t xml:space="preserve">полировка</t>
  </si>
  <si>
    <t>white electroplating</t>
  </si>
  <si>
    <t>Fine shimmer silver</t>
  </si>
  <si>
    <t>silver plating</t>
  </si>
  <si>
    <t>Polished Laser-Etched</t>
  </si>
  <si>
    <t>Gloss Black Machined Face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</si>
</sst>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[$-409]mmm/yy;@"/>
    <numFmt numFmtId="177" formatCode="0_ "/>
  </numFmts>
  <fonts count="53">
    <font>
      <sz val="11"/>
      <color indexed="8"/>
      <name val="宋体"/>
      <charset val="134"/>
    </font>
    <font>
      <b/>
      <sz val="11.25"/>
      <color indexed="8"/>
      <name val="Segoe UI"/>
      <charset val="134"/>
    </font>
    <font>
      <sz val="11"/>
      <color indexed="9"/>
      <name val="微软雅黑"/>
      <charset val="134"/>
    </font>
    <font>
      <sz val="11"/>
      <name val="宋体"/>
      <charset val="134"/>
    </font>
    <font>
      <b/>
      <sz val="11"/>
      <color indexed="8"/>
      <name val="宋体"/>
      <charset val="134"/>
    </font>
    <font>
      <b/>
      <sz val="14"/>
      <color indexed="9"/>
      <name val="微软雅黑"/>
      <charset val="134"/>
    </font>
    <font>
      <b/>
      <sz val="14"/>
      <name val="微软雅黑"/>
      <charset val="134"/>
    </font>
    <font>
      <b/>
      <sz val="11"/>
      <color indexed="9"/>
      <name val="微软雅黑"/>
      <charset val="134"/>
    </font>
    <font>
      <b/>
      <sz val="12"/>
      <color rgb="FFFFFFFF"/>
      <name val="微软雅黑"/>
      <charset val="134"/>
    </font>
    <font>
      <b/>
      <sz val="11"/>
      <name val="宋体"/>
      <charset val="134"/>
    </font>
    <font>
      <b/>
      <sz val="11"/>
      <color rgb="FFFF0000"/>
      <name val="宋体"/>
      <charset val="134"/>
    </font>
    <font>
      <b/>
      <sz val="11"/>
      <color rgb="FF000000"/>
      <name val="宋体"/>
      <charset val="134"/>
    </font>
    <font>
      <b/>
      <sz val="14"/>
      <name val="宋体"/>
      <charset val="134"/>
    </font>
    <font>
      <b/>
      <sz val="10"/>
      <name val="宋体"/>
      <charset val="134"/>
    </font>
    <font>
      <b/>
      <sz val="9"/>
      <color indexed="8"/>
      <name val="宋体"/>
      <charset val="134"/>
    </font>
    <font>
      <b/>
      <sz val="10"/>
      <color indexed="8"/>
      <name val="宋体"/>
      <charset val="134"/>
    </font>
    <font>
      <b/>
      <sz val="8"/>
      <color indexed="8"/>
      <name val="宋体"/>
      <charset val="134"/>
    </font>
    <font>
      <sz val="10"/>
      <color indexed="8"/>
      <name val="宋体"/>
      <charset val="134"/>
    </font>
    <font>
      <b/>
      <sz val="10"/>
      <color rgb="FFFFFFFF"/>
      <name val="微软雅黑"/>
      <charset val="134"/>
    </font>
    <font>
      <b/>
      <sz val="14"/>
      <color indexed="10"/>
      <name val="宋体"/>
      <charset val="134"/>
    </font>
    <font>
      <b/>
      <sz val="11"/>
      <color indexed="10"/>
      <name val="宋体"/>
      <charset val="134"/>
    </font>
    <font>
      <b/>
      <sz val="12"/>
      <color indexed="8"/>
      <name val="宋体"/>
      <charset val="134"/>
    </font>
    <font>
      <b/>
      <sz val="10"/>
      <color rgb="FF000000"/>
      <name val="宋体"/>
      <charset val="134"/>
    </font>
    <font>
      <b/>
      <sz val="9"/>
      <name val="宋体"/>
      <charset val="134"/>
    </font>
    <font>
      <sz val="14"/>
      <color indexed="8"/>
      <name val="微软雅黑"/>
      <charset val="134"/>
    </font>
    <font>
      <b/>
      <sz val="10"/>
      <color indexed="10"/>
      <name val="宋体"/>
      <charset val="134"/>
    </font>
    <font>
      <sz val="12"/>
      <color indexed="9"/>
      <name val="微软雅黑"/>
      <charset val="134"/>
    </font>
    <font>
      <u/>
      <sz val="11"/>
      <color indexed="12"/>
      <name val="宋体"/>
      <charset val="0"/>
    </font>
    <font>
      <u/>
      <sz val="11"/>
      <color indexed="20"/>
      <name val="宋体"/>
      <charset val="0"/>
    </font>
    <font>
      <sz val="11"/>
      <color indexed="10"/>
      <name val="宋体"/>
      <charset val="0"/>
    </font>
    <font>
      <b/>
      <sz val="18"/>
      <color indexed="62"/>
      <name val="宋体"/>
      <charset val="134"/>
    </font>
    <font>
      <i/>
      <sz val="11"/>
      <color indexed="23"/>
      <name val="宋体"/>
      <charset val="0"/>
    </font>
    <font>
      <b/>
      <sz val="15"/>
      <color indexed="62"/>
      <name val="宋体"/>
      <charset val="134"/>
    </font>
    <font>
      <b/>
      <sz val="13"/>
      <color indexed="62"/>
      <name val="宋体"/>
      <charset val="134"/>
    </font>
    <font>
      <b/>
      <sz val="11"/>
      <color indexed="62"/>
      <name val="宋体"/>
      <charset val="134"/>
    </font>
    <font>
      <sz val="11"/>
      <color indexed="62"/>
      <name val="宋体"/>
      <charset val="0"/>
    </font>
    <font>
      <b/>
      <sz val="11"/>
      <color indexed="63"/>
      <name val="宋体"/>
      <charset val="0"/>
    </font>
    <font>
      <b/>
      <sz val="11"/>
      <color indexed="52"/>
      <name val="宋体"/>
      <charset val="0"/>
    </font>
    <font>
      <b/>
      <sz val="11"/>
      <color indexed="9"/>
      <name val="宋体"/>
      <charset val="0"/>
    </font>
    <font>
      <sz val="11"/>
      <color indexed="52"/>
      <name val="宋体"/>
      <charset val="0"/>
    </font>
    <font>
      <b/>
      <sz val="11"/>
      <color indexed="8"/>
      <name val="宋体"/>
      <charset val="0"/>
    </font>
    <font>
      <sz val="11"/>
      <color indexed="17"/>
      <name val="宋体"/>
      <charset val="0"/>
    </font>
    <font>
      <sz val="11"/>
      <color indexed="60"/>
      <name val="宋体"/>
      <charset val="0"/>
    </font>
    <font>
      <sz val="11"/>
      <color indexed="9"/>
      <name val="宋体"/>
      <charset val="0"/>
    </font>
    <font>
      <sz val="11"/>
      <color indexed="8"/>
      <name val="宋体"/>
      <charset val="0"/>
    </font>
    <font>
      <sz val="10"/>
      <name val="MS Sans Serif"/>
      <charset val="134"/>
    </font>
    <font>
      <sz val="11"/>
      <color indexed="8"/>
      <name val="等线"/>
      <charset val="134"/>
    </font>
    <font>
      <b/>
      <sz val="12"/>
      <name val="宋体"/>
      <charset val="134"/>
    </font>
    <font>
      <b/>
      <sz val="11"/>
      <color rgb="FF008000"/>
      <name val="宋体"/>
      <charset val="134"/>
    </font>
    <font>
      <b/>
      <sz val="11"/>
      <color indexed="60"/>
      <name val="宋体"/>
      <charset val="134"/>
    </font>
    <font>
      <b/>
      <sz val="11"/>
      <color rgb="FF993300"/>
      <name val="宋体"/>
      <charset val="134"/>
    </font>
    <font>
      <b/>
      <sz val="9"/>
      <color rgb="FFFFFFFF"/>
      <name val="微软雅黑"/>
      <charset val="134"/>
    </font>
    <font>
      <b/>
      <sz val="11"/>
      <color indexed="17"/>
      <name val="宋体"/>
      <charset val="134"/>
    </font>
  </fonts>
  <fills count="21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8" tint="0.8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1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57"/>
        <bgColor indexed="64"/>
      </patternFill>
    </fill>
  </fills>
  <borders count="61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rgb="FF000000"/>
      </left>
      <right style="thin">
        <color rgb="FF000000"/>
      </right>
      <top/>
      <bottom style="thin">
        <color auto="1"/>
      </bottom>
      <diagonal/>
    </border>
    <border>
      <left/>
      <right/>
      <top style="thin">
        <color auto="1"/>
      </top>
      <bottom/>
      <diagonal/>
    </border>
    <border>
      <left/>
      <right style="thin">
        <color rgb="FF000000"/>
      </right>
      <top style="thin">
        <color auto="1"/>
      </top>
      <bottom/>
      <diagonal/>
    </border>
    <border>
      <left/>
      <right style="thin">
        <color rgb="FF000000"/>
      </right>
      <top/>
      <bottom/>
      <diagonal/>
    </border>
    <border>
      <left style="thin">
        <color rgb="FF000000"/>
      </left>
      <right style="thin">
        <color rgb="FF000000"/>
      </right>
      <top style="thin">
        <color auto="1"/>
      </top>
      <bottom style="thin">
        <color auto="1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rgb="FF000000"/>
      </left>
      <right style="thin">
        <color rgb="FF000000"/>
      </right>
      <top/>
      <bottom style="medium">
        <color auto="1"/>
      </bottom>
      <diagonal/>
    </border>
    <border>
      <left/>
      <right style="thin">
        <color rgb="FF000000"/>
      </right>
      <top style="thin">
        <color rgb="FF000000"/>
      </top>
      <bottom/>
      <diagonal/>
    </border>
    <border>
      <left/>
      <right style="thin">
        <color rgb="FF000000"/>
      </right>
      <top/>
      <bottom style="thin">
        <color auto="1"/>
      </bottom>
      <diagonal/>
    </border>
    <border>
      <left style="thin">
        <color rgb="FF000000"/>
      </left>
      <right style="thin">
        <color rgb="FF000000"/>
      </right>
      <top style="medium">
        <color indexed="23"/>
      </top>
      <bottom/>
      <diagonal/>
    </border>
    <border>
      <left/>
      <right/>
      <top style="medium">
        <color indexed="23"/>
      </top>
      <bottom/>
      <diagonal/>
    </border>
    <border>
      <left/>
      <right/>
      <top/>
      <bottom style="thin">
        <color rgb="FF000000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000000"/>
      </left>
      <right style="thin">
        <color auto="1"/>
      </right>
      <top/>
      <bottom style="thin">
        <color auto="1"/>
      </bottom>
      <diagonal/>
    </border>
    <border>
      <left style="thin">
        <color rgb="FF000000"/>
      </left>
      <right style="thin">
        <color auto="1"/>
      </right>
      <top style="thin">
        <color auto="1"/>
      </top>
      <bottom style="thin">
        <color rgb="FF000000"/>
      </bottom>
      <diagonal/>
    </border>
    <border>
      <left/>
      <right/>
      <top style="thin">
        <color auto="1"/>
      </top>
      <bottom style="thin">
        <color rgb="FF000000"/>
      </bottom>
      <diagonal/>
    </border>
    <border>
      <left style="thin">
        <color rgb="FF000000"/>
      </left>
      <right/>
      <top/>
      <bottom style="thin">
        <color auto="1"/>
      </bottom>
      <diagonal/>
    </border>
    <border>
      <left style="medium">
        <color indexed="23"/>
      </left>
      <right/>
      <top style="medium">
        <color indexed="23"/>
      </top>
      <bottom/>
      <diagonal/>
    </border>
    <border>
      <left style="hair">
        <color rgb="FF808080"/>
      </left>
      <right style="hair">
        <color rgb="FF808080"/>
      </right>
      <top style="medium">
        <color indexed="23"/>
      </top>
      <bottom/>
      <diagonal/>
    </border>
    <border>
      <left style="thin">
        <color rgb="FF808080"/>
      </left>
      <right style="thin">
        <color rgb="FF808080"/>
      </right>
      <top/>
      <bottom/>
      <diagonal/>
    </border>
    <border>
      <left style="thin">
        <color rgb="FF808080"/>
      </left>
      <right style="thin">
        <color rgb="FF808080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rgb="FF808080"/>
      </left>
      <right style="thin">
        <color rgb="FF808080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rgb="FF808080"/>
      </left>
      <right style="thin">
        <color rgb="FF808080"/>
      </right>
      <top style="thin">
        <color auto="1"/>
      </top>
      <bottom style="thin">
        <color auto="1"/>
      </bottom>
      <diagonal/>
    </border>
    <border>
      <left style="thin">
        <color rgb="FF808080"/>
      </left>
      <right style="thin">
        <color rgb="FF808080"/>
      </right>
      <top/>
      <bottom style="thin">
        <color rgb="FF808080"/>
      </bottom>
      <diagonal/>
    </border>
    <border>
      <left/>
      <right/>
      <top/>
      <bottom style="thin">
        <color rgb="FF808080"/>
      </bottom>
      <diagonal/>
    </border>
    <border>
      <left/>
      <right/>
      <top/>
      <bottom style="thin">
        <color indexed="8"/>
      </bottom>
      <diagonal/>
    </border>
    <border>
      <left/>
      <right style="thin">
        <color auto="1"/>
      </right>
      <top/>
      <bottom/>
      <diagonal/>
    </border>
    <border>
      <left style="thin">
        <color auto="1"/>
      </left>
      <right/>
      <top style="thin">
        <color indexed="8"/>
      </top>
      <bottom/>
      <diagonal/>
    </border>
    <border>
      <left style="thin">
        <color rgb="FF000000"/>
      </left>
      <right style="thin">
        <color rgb="FF000000"/>
      </right>
      <top style="thin">
        <color indexed="8"/>
      </top>
      <bottom/>
      <diagonal/>
    </border>
    <border>
      <left style="thin">
        <color rgb="FF000000"/>
      </left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rgb="FF000000"/>
      </left>
      <right/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auto="1"/>
      </left>
      <right style="thin">
        <color rgb="FF000000"/>
      </right>
      <top style="thin">
        <color auto="1"/>
      </top>
      <bottom style="thin">
        <color auto="1"/>
      </bottom>
      <diagonal/>
    </border>
    <border>
      <left style="thin">
        <color rgb="FF000000"/>
      </left>
      <right style="thin">
        <color auto="1"/>
      </right>
      <top/>
      <bottom style="thin">
        <color rgb="FF000000"/>
      </bottom>
      <diagonal/>
    </border>
    <border>
      <left style="thin">
        <color auto="1"/>
      </left>
      <right style="thin">
        <color auto="1"/>
      </right>
      <top/>
      <bottom style="thin">
        <color rgb="FF000000"/>
      </bottom>
      <diagonal/>
    </border>
    <border>
      <left style="thin">
        <color auto="1"/>
      </left>
      <right style="thin">
        <color rgb="FF000000"/>
      </right>
      <top/>
      <bottom style="thin">
        <color rgb="FF000000"/>
      </bottom>
      <diagonal/>
    </border>
    <border>
      <left style="thin">
        <color rgb="FF000000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rgb="FF000000"/>
      </right>
      <top/>
      <bottom/>
      <diagonal/>
    </border>
    <border>
      <left style="thin">
        <color auto="1"/>
      </left>
      <right style="thin">
        <color rgb="FF000000"/>
      </right>
      <top style="thin">
        <color auto="1"/>
      </top>
      <bottom/>
      <diagonal/>
    </border>
    <border>
      <left style="thin">
        <color auto="1"/>
      </left>
      <right style="thin">
        <color rgb="FF000000"/>
      </right>
      <top/>
      <bottom style="thin">
        <color auto="1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medium">
        <color indexed="49"/>
      </bottom>
      <diagonal/>
    </border>
    <border>
      <left/>
      <right/>
      <top/>
      <bottom style="medium">
        <color indexed="4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double">
        <color indexed="52"/>
      </bottom>
      <diagonal/>
    </border>
    <border>
      <left/>
      <right/>
      <top style="thin">
        <color indexed="49"/>
      </top>
      <bottom style="double">
        <color indexed="49"/>
      </bottom>
      <diagonal/>
    </border>
  </borders>
  <cellStyleXfs count="51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0" fillId="6" borderId="53" applyNumberFormat="0" applyFont="0" applyAlignment="0" applyProtection="0">
      <alignment vertical="center"/>
    </xf>
    <xf numFmtId="0" fontId="29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2" fillId="0" borderId="54" applyNumberFormat="0" applyFill="0" applyAlignment="0" applyProtection="0">
      <alignment vertical="center"/>
    </xf>
    <xf numFmtId="0" fontId="33" fillId="0" borderId="54" applyNumberFormat="0" applyFill="0" applyAlignment="0" applyProtection="0">
      <alignment vertical="center"/>
    </xf>
    <xf numFmtId="0" fontId="34" fillId="0" borderId="55" applyNumberFormat="0" applyFill="0" applyAlignment="0" applyProtection="0">
      <alignment vertical="center"/>
    </xf>
    <xf numFmtId="0" fontId="34" fillId="0" borderId="0" applyNumberFormat="0" applyFill="0" applyBorder="0" applyAlignment="0" applyProtection="0">
      <alignment vertical="center"/>
    </xf>
    <xf numFmtId="0" fontId="35" fillId="7" borderId="56" applyNumberFormat="0" applyAlignment="0" applyProtection="0">
      <alignment vertical="center"/>
    </xf>
    <xf numFmtId="0" fontId="36" fillId="8" borderId="57" applyNumberFormat="0" applyAlignment="0" applyProtection="0">
      <alignment vertical="center"/>
    </xf>
    <xf numFmtId="0" fontId="37" fillId="8" borderId="56" applyNumberFormat="0" applyAlignment="0" applyProtection="0">
      <alignment vertical="center"/>
    </xf>
    <xf numFmtId="0" fontId="38" fillId="9" borderId="58" applyNumberFormat="0" applyAlignment="0" applyProtection="0">
      <alignment vertical="center"/>
    </xf>
    <xf numFmtId="0" fontId="39" fillId="0" borderId="59" applyNumberFormat="0" applyFill="0" applyAlignment="0" applyProtection="0">
      <alignment vertical="center"/>
    </xf>
    <xf numFmtId="0" fontId="40" fillId="0" borderId="60" applyNumberFormat="0" applyFill="0" applyAlignment="0" applyProtection="0">
      <alignment vertical="center"/>
    </xf>
    <xf numFmtId="0" fontId="41" fillId="10" borderId="0" applyNumberFormat="0" applyBorder="0" applyAlignment="0" applyProtection="0">
      <alignment vertical="center"/>
    </xf>
    <xf numFmtId="0" fontId="42" fillId="11" borderId="0" applyNumberFormat="0" applyBorder="0" applyAlignment="0" applyProtection="0">
      <alignment vertical="center"/>
    </xf>
    <xf numFmtId="0" fontId="42" fillId="12" borderId="0" applyNumberFormat="0" applyBorder="0" applyAlignment="0" applyProtection="0">
      <alignment vertical="center"/>
    </xf>
    <xf numFmtId="0" fontId="43" fillId="13" borderId="0" applyNumberFormat="0" applyBorder="0" applyAlignment="0" applyProtection="0">
      <alignment vertical="center"/>
    </xf>
    <xf numFmtId="0" fontId="44" fillId="14" borderId="0" applyNumberFormat="0" applyBorder="0" applyAlignment="0" applyProtection="0">
      <alignment vertical="center"/>
    </xf>
    <xf numFmtId="0" fontId="44" fillId="15" borderId="0" applyNumberFormat="0" applyBorder="0" applyAlignment="0" applyProtection="0">
      <alignment vertical="center"/>
    </xf>
    <xf numFmtId="0" fontId="43" fillId="15" borderId="0" applyNumberFormat="0" applyBorder="0" applyAlignment="0" applyProtection="0">
      <alignment vertical="center"/>
    </xf>
    <xf numFmtId="0" fontId="43" fillId="16" borderId="0" applyNumberFormat="0" applyBorder="0" applyAlignment="0" applyProtection="0">
      <alignment vertical="center"/>
    </xf>
    <xf numFmtId="0" fontId="44" fillId="7" borderId="0" applyNumberFormat="0" applyBorder="0" applyAlignment="0" applyProtection="0">
      <alignment vertical="center"/>
    </xf>
    <xf numFmtId="0" fontId="44" fillId="7" borderId="0" applyNumberFormat="0" applyBorder="0" applyAlignment="0" applyProtection="0">
      <alignment vertical="center"/>
    </xf>
    <xf numFmtId="0" fontId="43" fillId="11" borderId="0" applyNumberFormat="0" applyBorder="0" applyAlignment="0" applyProtection="0">
      <alignment vertical="center"/>
    </xf>
    <xf numFmtId="0" fontId="43" fillId="9" borderId="0" applyNumberFormat="0" applyBorder="0" applyAlignment="0" applyProtection="0">
      <alignment vertical="center"/>
    </xf>
    <xf numFmtId="0" fontId="44" fillId="8" borderId="0" applyNumberFormat="0" applyBorder="0" applyAlignment="0" applyProtection="0">
      <alignment vertical="center"/>
    </xf>
    <xf numFmtId="0" fontId="44" fillId="17" borderId="0" applyNumberFormat="0" applyBorder="0" applyAlignment="0" applyProtection="0">
      <alignment vertical="center"/>
    </xf>
    <xf numFmtId="0" fontId="43" fillId="17" borderId="0" applyNumberFormat="0" applyBorder="0" applyAlignment="0" applyProtection="0">
      <alignment vertical="center"/>
    </xf>
    <xf numFmtId="0" fontId="43" fillId="18" borderId="0" applyNumberFormat="0" applyBorder="0" applyAlignment="0" applyProtection="0">
      <alignment vertical="center"/>
    </xf>
    <xf numFmtId="0" fontId="44" fillId="6" borderId="0" applyNumberFormat="0" applyBorder="0" applyAlignment="0" applyProtection="0">
      <alignment vertical="center"/>
    </xf>
    <xf numFmtId="0" fontId="44" fillId="7" borderId="0" applyNumberFormat="0" applyBorder="0" applyAlignment="0" applyProtection="0">
      <alignment vertical="center"/>
    </xf>
    <xf numFmtId="0" fontId="43" fillId="7" borderId="0" applyNumberFormat="0" applyBorder="0" applyAlignment="0" applyProtection="0">
      <alignment vertical="center"/>
    </xf>
    <xf numFmtId="0" fontId="43" fillId="13" borderId="0" applyNumberFormat="0" applyBorder="0" applyAlignment="0" applyProtection="0">
      <alignment vertical="center"/>
    </xf>
    <xf numFmtId="0" fontId="44" fillId="19" borderId="0" applyNumberFormat="0" applyBorder="0" applyAlignment="0" applyProtection="0">
      <alignment vertical="center"/>
    </xf>
    <xf numFmtId="0" fontId="44" fillId="15" borderId="0" applyNumberFormat="0" applyBorder="0" applyAlignment="0" applyProtection="0">
      <alignment vertical="center"/>
    </xf>
    <xf numFmtId="0" fontId="43" fillId="15" borderId="0" applyNumberFormat="0" applyBorder="0" applyAlignment="0" applyProtection="0">
      <alignment vertical="center"/>
    </xf>
    <xf numFmtId="0" fontId="43" fillId="20" borderId="0" applyNumberFormat="0" applyBorder="0" applyAlignment="0" applyProtection="0">
      <alignment vertical="center"/>
    </xf>
    <xf numFmtId="0" fontId="44" fillId="10" borderId="0" applyNumberFormat="0" applyBorder="0" applyAlignment="0" applyProtection="0">
      <alignment vertical="center"/>
    </xf>
    <xf numFmtId="0" fontId="44" fillId="10" borderId="0" applyNumberFormat="0" applyBorder="0" applyAlignment="0" applyProtection="0">
      <alignment vertical="center"/>
    </xf>
    <xf numFmtId="0" fontId="43" fillId="20" borderId="0" applyNumberFormat="0" applyBorder="0" applyAlignment="0" applyProtection="0">
      <alignment vertical="center"/>
    </xf>
    <xf numFmtId="0" fontId="45" fillId="0" borderId="0">
      <alignment vertical="center"/>
    </xf>
    <xf numFmtId="176" fontId="46" fillId="0" borderId="0">
      <alignment vertical="center"/>
    </xf>
  </cellStyleXfs>
  <cellXfs count="424">
    <xf numFmtId="0" fontId="0" fillId="0" borderId="0" xfId="0">
      <alignment vertical="center"/>
    </xf>
    <xf numFmtId="0" fontId="0" fillId="2" borderId="0" xfId="0" applyFill="1">
      <alignment vertical="center"/>
    </xf>
    <xf numFmtId="0" fontId="0" fillId="3" borderId="0" xfId="0" applyFill="1">
      <alignment vertical="center"/>
    </xf>
    <xf numFmtId="0" fontId="0" fillId="4" borderId="0" xfId="0" applyFill="1">
      <alignment vertical="center"/>
    </xf>
    <xf numFmtId="0" fontId="1" fillId="0" borderId="0" xfId="0" applyFont="1">
      <alignment vertical="center"/>
    </xf>
    <xf numFmtId="0" fontId="2" fillId="0" borderId="0" xfId="0" applyFont="1" applyFill="1" applyBorder="1">
      <alignment vertical="center"/>
    </xf>
    <xf numFmtId="0" fontId="0" fillId="0" borderId="0" xfId="0" applyFill="1" applyBorder="1">
      <alignment vertical="center"/>
    </xf>
    <xf numFmtId="0" fontId="0" fillId="0" borderId="0" xfId="0" applyFill="1" applyBorder="1" applyAlignment="1">
      <alignment horizontal="center" vertical="center"/>
    </xf>
    <xf numFmtId="0" fontId="0" fillId="0" borderId="0" xfId="0" applyFill="1">
      <alignment vertical="center"/>
    </xf>
    <xf numFmtId="0" fontId="3" fillId="0" borderId="0" xfId="0" applyFont="1" applyFill="1" applyAlignment="1">
      <alignment horizontal="left" vertical="center"/>
    </xf>
    <xf numFmtId="0" fontId="0" fillId="0" borderId="0" xfId="0" applyFill="1" applyAlignment="1">
      <alignment horizontal="left" vertical="center"/>
    </xf>
    <xf numFmtId="0" fontId="4" fillId="0" borderId="0" xfId="0" applyFont="1" applyFill="1" applyAlignment="1">
      <alignment horizontal="center" vertical="center"/>
    </xf>
    <xf numFmtId="0" fontId="5" fillId="0" borderId="0" xfId="0" applyNumberFormat="1" applyFont="1" applyFill="1" applyBorder="1" applyAlignment="1">
      <alignment horizontal="center" vertical="center" wrapText="1"/>
    </xf>
    <xf numFmtId="0" fontId="6" fillId="0" borderId="0" xfId="0" applyNumberFormat="1" applyFont="1" applyFill="1" applyBorder="1" applyAlignment="1">
      <alignment horizontal="left" vertical="center" wrapText="1"/>
    </xf>
    <xf numFmtId="0" fontId="5" fillId="0" borderId="0" xfId="0" applyNumberFormat="1" applyFont="1" applyFill="1" applyBorder="1" applyAlignment="1">
      <alignment horizontal="left" vertical="center" wrapText="1"/>
    </xf>
    <xf numFmtId="0" fontId="7" fillId="0" borderId="0" xfId="0" applyNumberFormat="1" applyFont="1" applyFill="1" applyBorder="1" applyAlignment="1">
      <alignment horizontal="center" vertical="center" wrapText="1"/>
    </xf>
    <xf numFmtId="0" fontId="8" fillId="5" borderId="1" xfId="0" applyNumberFormat="1" applyFont="1" applyFill="1" applyBorder="1" applyAlignment="1">
      <alignment horizontal="center" vertical="center" wrapText="1"/>
    </xf>
    <xf numFmtId="0" fontId="8" fillId="5" borderId="1" xfId="0" applyNumberFormat="1" applyFont="1" applyFill="1" applyBorder="1" applyAlignment="1">
      <alignment horizontal="left" vertical="center" wrapText="1"/>
    </xf>
    <xf numFmtId="0" fontId="0" fillId="0" borderId="2" xfId="0" applyFill="1" applyBorder="1" applyAlignment="1">
      <alignment vertical="center"/>
    </xf>
    <xf numFmtId="0" fontId="9" fillId="0" borderId="2" xfId="0" applyFont="1" applyFill="1" applyBorder="1" applyAlignment="1">
      <alignment horizontal="left" vertical="center"/>
    </xf>
    <xf numFmtId="0" fontId="4" fillId="0" borderId="2" xfId="0" applyFont="1" applyFill="1" applyBorder="1" applyAlignment="1">
      <alignment horizontal="left" vertical="center"/>
    </xf>
    <xf numFmtId="0" fontId="9" fillId="0" borderId="2" xfId="0" applyFont="1" applyFill="1" applyBorder="1" applyAlignment="1">
      <alignment horizontal="center" vertical="center"/>
    </xf>
    <xf numFmtId="0" fontId="0" fillId="0" borderId="3" xfId="0" applyFill="1" applyBorder="1" applyAlignment="1">
      <alignment vertical="center"/>
    </xf>
    <xf numFmtId="0" fontId="9" fillId="0" borderId="3" xfId="0" applyFont="1" applyFill="1" applyBorder="1" applyAlignment="1">
      <alignment horizontal="left" vertical="center"/>
    </xf>
    <xf numFmtId="0" fontId="4" fillId="0" borderId="3" xfId="0" applyFont="1" applyFill="1" applyBorder="1" applyAlignment="1">
      <alignment horizontal="left" vertical="center"/>
    </xf>
    <xf numFmtId="0" fontId="9" fillId="0" borderId="3" xfId="0" applyFont="1" applyFill="1" applyBorder="1" applyAlignment="1">
      <alignment horizontal="center" vertical="center"/>
    </xf>
    <xf numFmtId="0" fontId="0" fillId="0" borderId="4" xfId="0" applyFill="1" applyBorder="1" applyAlignment="1">
      <alignment vertical="center"/>
    </xf>
    <xf numFmtId="0" fontId="9" fillId="0" borderId="5" xfId="0" applyFont="1" applyFill="1" applyBorder="1" applyAlignment="1">
      <alignment horizontal="left" vertical="center"/>
    </xf>
    <xf numFmtId="0" fontId="4" fillId="0" borderId="5" xfId="0" applyFont="1" applyFill="1" applyBorder="1" applyAlignment="1">
      <alignment horizontal="left" vertical="center"/>
    </xf>
    <xf numFmtId="0" fontId="4" fillId="0" borderId="4" xfId="0" applyFont="1" applyFill="1" applyBorder="1" applyAlignment="1">
      <alignment horizontal="center" vertical="center"/>
    </xf>
    <xf numFmtId="0" fontId="9" fillId="0" borderId="6" xfId="0" applyFont="1" applyFill="1" applyBorder="1" applyAlignment="1">
      <alignment vertical="center"/>
    </xf>
    <xf numFmtId="0" fontId="10" fillId="0" borderId="2" xfId="0" applyFont="1" applyFill="1" applyBorder="1" applyAlignment="1">
      <alignment horizontal="left" vertical="center"/>
    </xf>
    <xf numFmtId="0" fontId="11" fillId="0" borderId="3" xfId="0" applyFont="1" applyFill="1" applyBorder="1" applyAlignment="1">
      <alignment horizontal="left" vertical="center"/>
    </xf>
    <xf numFmtId="0" fontId="12" fillId="0" borderId="2" xfId="0" applyNumberFormat="1" applyFont="1" applyFill="1" applyBorder="1" applyAlignment="1">
      <alignment horizontal="center" vertical="center" wrapText="1"/>
    </xf>
    <xf numFmtId="0" fontId="12" fillId="0" borderId="3" xfId="0" applyNumberFormat="1" applyFont="1" applyFill="1" applyBorder="1" applyAlignment="1">
      <alignment horizontal="center" vertical="center" wrapText="1"/>
    </xf>
    <xf numFmtId="0" fontId="10" fillId="0" borderId="3" xfId="0" applyFont="1" applyFill="1" applyBorder="1" applyAlignment="1">
      <alignment horizontal="left" vertical="center"/>
    </xf>
    <xf numFmtId="0" fontId="13" fillId="0" borderId="3" xfId="0" applyFont="1" applyFill="1" applyBorder="1" applyAlignment="1">
      <alignment horizontal="left" vertical="center"/>
    </xf>
    <xf numFmtId="0" fontId="12" fillId="0" borderId="7" xfId="0" applyNumberFormat="1" applyFont="1" applyFill="1" applyBorder="1" applyAlignment="1">
      <alignment horizontal="center" vertical="center" wrapText="1"/>
    </xf>
    <xf numFmtId="0" fontId="9" fillId="0" borderId="7" xfId="0" applyFont="1" applyFill="1" applyBorder="1" applyAlignment="1">
      <alignment horizontal="left" vertical="center"/>
    </xf>
    <xf numFmtId="0" fontId="4" fillId="0" borderId="7" xfId="0" applyFont="1" applyFill="1" applyBorder="1" applyAlignment="1">
      <alignment horizontal="left" vertical="center"/>
    </xf>
    <xf numFmtId="0" fontId="9" fillId="0" borderId="7" xfId="0" applyFont="1" applyFill="1" applyBorder="1" applyAlignment="1">
      <alignment horizontal="center" vertical="center"/>
    </xf>
    <xf numFmtId="0" fontId="14" fillId="0" borderId="2" xfId="0" applyFont="1" applyFill="1" applyBorder="1" applyAlignment="1">
      <alignment horizontal="left" vertical="center"/>
    </xf>
    <xf numFmtId="0" fontId="4" fillId="0" borderId="2" xfId="0" applyFont="1" applyFill="1" applyBorder="1" applyAlignment="1">
      <alignment horizontal="center" vertical="center"/>
    </xf>
    <xf numFmtId="0" fontId="4" fillId="0" borderId="3" xfId="0" applyFont="1" applyFill="1" applyBorder="1" applyAlignment="1">
      <alignment horizontal="center" vertical="center"/>
    </xf>
    <xf numFmtId="0" fontId="0" fillId="0" borderId="2" xfId="0" applyFill="1" applyBorder="1" applyAlignment="1">
      <alignment horizontal="center" vertical="center"/>
    </xf>
    <xf numFmtId="0" fontId="4" fillId="0" borderId="7" xfId="0" applyFont="1" applyFill="1" applyBorder="1" applyAlignment="1">
      <alignment horizontal="center" vertical="center"/>
    </xf>
    <xf numFmtId="0" fontId="0" fillId="0" borderId="3" xfId="0" applyFill="1" applyBorder="1" applyAlignment="1">
      <alignment horizontal="center" vertical="center"/>
    </xf>
    <xf numFmtId="0" fontId="14" fillId="0" borderId="3" xfId="0" applyFont="1" applyFill="1" applyBorder="1" applyAlignment="1">
      <alignment horizontal="left" vertical="center"/>
    </xf>
    <xf numFmtId="0" fontId="0" fillId="0" borderId="8" xfId="0" applyFill="1" applyBorder="1" applyAlignment="1">
      <alignment vertical="center"/>
    </xf>
    <xf numFmtId="0" fontId="9" fillId="0" borderId="8" xfId="0" applyFont="1" applyFill="1" applyBorder="1" applyAlignment="1">
      <alignment horizontal="left" vertical="center"/>
    </xf>
    <xf numFmtId="0" fontId="4" fillId="0" borderId="8" xfId="0" applyFont="1" applyFill="1" applyBorder="1" applyAlignment="1">
      <alignment horizontal="left" vertical="center"/>
    </xf>
    <xf numFmtId="0" fontId="4" fillId="0" borderId="8" xfId="0" applyFont="1" applyFill="1" applyBorder="1" applyAlignment="1">
      <alignment horizontal="center" vertical="center"/>
    </xf>
    <xf numFmtId="0" fontId="0" fillId="0" borderId="9" xfId="0" applyFill="1" applyBorder="1" applyAlignment="1">
      <alignment horizontal="center" vertical="center"/>
    </xf>
    <xf numFmtId="0" fontId="9" fillId="0" borderId="9" xfId="0" applyFont="1" applyFill="1" applyBorder="1" applyAlignment="1">
      <alignment horizontal="left" vertical="center"/>
    </xf>
    <xf numFmtId="0" fontId="4" fillId="0" borderId="9" xfId="0" applyFont="1" applyFill="1" applyBorder="1" applyAlignment="1">
      <alignment horizontal="left" vertical="center"/>
    </xf>
    <xf numFmtId="0" fontId="4" fillId="0" borderId="9" xfId="0" applyFont="1" applyFill="1" applyBorder="1" applyAlignment="1">
      <alignment horizontal="center" vertical="center"/>
    </xf>
    <xf numFmtId="0" fontId="0" fillId="0" borderId="9" xfId="0" applyFill="1" applyBorder="1" applyAlignment="1">
      <alignment vertical="center"/>
    </xf>
    <xf numFmtId="0" fontId="12" fillId="0" borderId="9" xfId="0" applyNumberFormat="1" applyFont="1" applyFill="1" applyBorder="1" applyAlignment="1">
      <alignment horizontal="center" vertical="center" wrapText="1"/>
    </xf>
    <xf numFmtId="0" fontId="0" fillId="0" borderId="10" xfId="0" applyFill="1" applyBorder="1">
      <alignment vertical="center"/>
    </xf>
    <xf numFmtId="0" fontId="0" fillId="0" borderId="11" xfId="0" applyFill="1" applyBorder="1">
      <alignment vertical="center"/>
    </xf>
    <xf numFmtId="0" fontId="3" fillId="0" borderId="12" xfId="0" applyFont="1" applyFill="1" applyBorder="1" applyAlignment="1">
      <alignment horizontal="left" vertical="center"/>
    </xf>
    <xf numFmtId="0" fontId="0" fillId="0" borderId="12" xfId="0" applyFill="1" applyBorder="1" applyAlignment="1">
      <alignment horizontal="left" vertical="center"/>
    </xf>
    <xf numFmtId="0" fontId="4" fillId="0" borderId="12" xfId="0" applyFont="1" applyFill="1" applyBorder="1" applyAlignment="1">
      <alignment horizontal="center" vertical="center"/>
    </xf>
    <xf numFmtId="0" fontId="0" fillId="0" borderId="0" xfId="0" applyFill="1" applyAlignment="1">
      <alignment horizontal="center" vertical="center"/>
    </xf>
    <xf numFmtId="49" fontId="9" fillId="0" borderId="2" xfId="0" applyNumberFormat="1" applyFont="1" applyFill="1" applyBorder="1" applyAlignment="1">
      <alignment horizontal="left" vertical="center"/>
    </xf>
    <xf numFmtId="0" fontId="4" fillId="0" borderId="2" xfId="0" applyFont="1" applyFill="1" applyBorder="1" applyAlignment="1">
      <alignment horizontal="left" vertical="center" wrapText="1"/>
    </xf>
    <xf numFmtId="0" fontId="15" fillId="0" borderId="2" xfId="0" applyFont="1" applyFill="1" applyBorder="1" applyAlignment="1">
      <alignment horizontal="left" vertical="center"/>
    </xf>
    <xf numFmtId="49" fontId="9" fillId="0" borderId="3" xfId="0" applyNumberFormat="1" applyFont="1" applyFill="1" applyBorder="1" applyAlignment="1">
      <alignment horizontal="left" vertical="center"/>
    </xf>
    <xf numFmtId="0" fontId="4" fillId="0" borderId="3" xfId="0" applyFont="1" applyFill="1" applyBorder="1" applyAlignment="1">
      <alignment horizontal="left" vertical="center" wrapText="1"/>
    </xf>
    <xf numFmtId="0" fontId="15" fillId="0" borderId="3" xfId="0" applyFont="1" applyFill="1" applyBorder="1" applyAlignment="1">
      <alignment horizontal="left" vertical="center"/>
    </xf>
    <xf numFmtId="0" fontId="16" fillId="0" borderId="2" xfId="0" applyFont="1" applyFill="1" applyBorder="1" applyAlignment="1">
      <alignment horizontal="left" vertical="center"/>
    </xf>
    <xf numFmtId="0" fontId="16" fillId="0" borderId="3" xfId="0" applyFont="1" applyFill="1" applyBorder="1" applyAlignment="1">
      <alignment horizontal="left" vertical="center"/>
    </xf>
    <xf numFmtId="0" fontId="16" fillId="0" borderId="9" xfId="0" applyFont="1" applyFill="1" applyBorder="1" applyAlignment="1">
      <alignment horizontal="left" vertical="center"/>
    </xf>
    <xf numFmtId="0" fontId="0" fillId="0" borderId="13" xfId="0" applyFill="1" applyBorder="1" applyAlignment="1">
      <alignment horizontal="center" vertical="center"/>
    </xf>
    <xf numFmtId="0" fontId="9" fillId="0" borderId="13" xfId="0" applyFont="1" applyFill="1" applyBorder="1" applyAlignment="1">
      <alignment horizontal="left" vertical="center"/>
    </xf>
    <xf numFmtId="0" fontId="4" fillId="0" borderId="13" xfId="0" applyFont="1" applyFill="1" applyBorder="1" applyAlignment="1">
      <alignment horizontal="left" vertical="center"/>
    </xf>
    <xf numFmtId="0" fontId="15" fillId="0" borderId="13" xfId="0" applyFont="1" applyFill="1" applyBorder="1" applyAlignment="1">
      <alignment horizontal="left" vertical="center"/>
    </xf>
    <xf numFmtId="0" fontId="4" fillId="0" borderId="13" xfId="0" applyFont="1" applyFill="1" applyBorder="1" applyAlignment="1">
      <alignment horizontal="center" vertical="center"/>
    </xf>
    <xf numFmtId="0" fontId="0" fillId="0" borderId="10" xfId="0" applyFill="1" applyBorder="1" applyAlignment="1">
      <alignment horizontal="center" vertical="center"/>
    </xf>
    <xf numFmtId="0" fontId="0" fillId="0" borderId="11" xfId="0" applyFill="1" applyBorder="1" applyAlignment="1">
      <alignment horizontal="center" vertical="center"/>
    </xf>
    <xf numFmtId="0" fontId="0" fillId="0" borderId="12" xfId="0" applyFill="1" applyBorder="1" applyAlignment="1">
      <alignment horizontal="center" vertical="center"/>
    </xf>
    <xf numFmtId="0" fontId="8" fillId="5" borderId="14" xfId="0" applyNumberFormat="1" applyFont="1" applyFill="1" applyBorder="1" applyAlignment="1">
      <alignment horizontal="center" vertical="center" wrapText="1"/>
    </xf>
    <xf numFmtId="0" fontId="0" fillId="0" borderId="2" xfId="0" applyFill="1" applyBorder="1">
      <alignment vertical="center"/>
    </xf>
    <xf numFmtId="0" fontId="4" fillId="0" borderId="6" xfId="0" applyFont="1" applyFill="1" applyBorder="1" applyAlignment="1">
      <alignment horizontal="center" vertical="center"/>
    </xf>
    <xf numFmtId="0" fontId="0" fillId="0" borderId="3" xfId="0" applyFill="1" applyBorder="1">
      <alignment vertical="center"/>
    </xf>
    <xf numFmtId="0" fontId="4" fillId="0" borderId="15" xfId="0" applyFont="1" applyFill="1" applyBorder="1" applyAlignment="1">
      <alignment horizontal="center" vertical="center"/>
    </xf>
    <xf numFmtId="0" fontId="0" fillId="0" borderId="9" xfId="0" applyFill="1" applyBorder="1">
      <alignment vertical="center"/>
    </xf>
    <xf numFmtId="0" fontId="15" fillId="0" borderId="9" xfId="0" applyFont="1" applyFill="1" applyBorder="1" applyAlignment="1">
      <alignment horizontal="left" vertical="center"/>
    </xf>
    <xf numFmtId="0" fontId="4" fillId="0" borderId="5" xfId="0" applyFont="1" applyFill="1" applyBorder="1" applyAlignment="1">
      <alignment horizontal="center" vertical="center"/>
    </xf>
    <xf numFmtId="0" fontId="0" fillId="0" borderId="0" xfId="0" applyFill="1" applyBorder="1" applyAlignment="1">
      <alignment horizontal="left" vertical="center"/>
    </xf>
    <xf numFmtId="0" fontId="3" fillId="0" borderId="0" xfId="0" applyFont="1" applyFill="1" applyBorder="1" applyAlignment="1">
      <alignment horizontal="left" vertical="center"/>
    </xf>
    <xf numFmtId="0" fontId="4" fillId="0" borderId="0" xfId="0" applyFont="1" applyFill="1" applyBorder="1" applyAlignment="1">
      <alignment horizontal="left" vertical="center"/>
    </xf>
    <xf numFmtId="0" fontId="4" fillId="0" borderId="0" xfId="0" applyFont="1" applyFill="1" applyBorder="1" applyAlignment="1">
      <alignment horizontal="center" vertical="center"/>
    </xf>
    <xf numFmtId="0" fontId="8" fillId="5" borderId="16" xfId="0" applyNumberFormat="1" applyFont="1" applyFill="1" applyBorder="1" applyAlignment="1">
      <alignment horizontal="center" vertical="center" wrapText="1"/>
    </xf>
    <xf numFmtId="0" fontId="8" fillId="5" borderId="16" xfId="0" applyNumberFormat="1" applyFont="1" applyFill="1" applyBorder="1" applyAlignment="1">
      <alignment horizontal="left" vertical="center" wrapText="1"/>
    </xf>
    <xf numFmtId="0" fontId="15" fillId="0" borderId="2" xfId="0" applyFont="1" applyFill="1" applyBorder="1" applyAlignment="1">
      <alignment horizontal="left" vertical="center" wrapText="1"/>
    </xf>
    <xf numFmtId="0" fontId="13" fillId="0" borderId="9" xfId="0" applyFont="1" applyFill="1" applyBorder="1" applyAlignment="1">
      <alignment horizontal="left" vertical="center" wrapText="1"/>
    </xf>
    <xf numFmtId="0" fontId="9" fillId="0" borderId="9" xfId="0" applyFont="1" applyFill="1" applyBorder="1" applyAlignment="1">
      <alignment horizontal="center" vertical="center"/>
    </xf>
    <xf numFmtId="0" fontId="15" fillId="0" borderId="3" xfId="0" applyFont="1" applyFill="1" applyBorder="1" applyAlignment="1">
      <alignment horizontal="left" vertical="center" wrapText="1"/>
    </xf>
    <xf numFmtId="0" fontId="9" fillId="0" borderId="2" xfId="0" applyFont="1" applyFill="1" applyBorder="1" applyAlignment="1">
      <alignment horizontal="left" vertical="center" wrapText="1"/>
    </xf>
    <xf numFmtId="0" fontId="9" fillId="0" borderId="3" xfId="0" applyFont="1" applyFill="1" applyBorder="1" applyAlignment="1">
      <alignment horizontal="left" vertical="center" wrapText="1"/>
    </xf>
    <xf numFmtId="0" fontId="4" fillId="0" borderId="12" xfId="0" applyFont="1" applyFill="1" applyBorder="1" applyAlignment="1">
      <alignment horizontal="left" vertical="center"/>
    </xf>
    <xf numFmtId="0" fontId="0" fillId="0" borderId="0" xfId="0" applyFill="1" applyBorder="1" applyAlignment="1">
      <alignment horizontal="left" vertical="center" wrapText="1"/>
    </xf>
    <xf numFmtId="0" fontId="4" fillId="0" borderId="9" xfId="0" applyFont="1" applyFill="1" applyBorder="1" applyAlignment="1">
      <alignment horizontal="left" vertical="center" wrapText="1"/>
    </xf>
    <xf numFmtId="0" fontId="3" fillId="0" borderId="2" xfId="0" applyFont="1" applyFill="1" applyBorder="1" applyAlignment="1">
      <alignment horizontal="center" vertical="center"/>
    </xf>
    <xf numFmtId="0" fontId="4" fillId="0" borderId="13" xfId="0" applyFont="1" applyFill="1" applyBorder="1" applyAlignment="1">
      <alignment horizontal="left" vertical="center" wrapText="1"/>
    </xf>
    <xf numFmtId="0" fontId="0" fillId="0" borderId="12" xfId="0" applyFill="1" applyBorder="1" applyAlignment="1">
      <alignment horizontal="left" vertical="center" wrapText="1"/>
    </xf>
    <xf numFmtId="0" fontId="3" fillId="0" borderId="0" xfId="0" applyFont="1" applyFill="1" applyBorder="1">
      <alignment vertical="center"/>
    </xf>
    <xf numFmtId="0" fontId="9" fillId="0" borderId="0" xfId="0" applyFont="1" applyFill="1" applyBorder="1" applyAlignment="1">
      <alignment horizontal="center" vertical="center"/>
    </xf>
    <xf numFmtId="0" fontId="9" fillId="0" borderId="2" xfId="0" applyNumberFormat="1" applyFont="1" applyFill="1" applyBorder="1" applyAlignment="1" applyProtection="1">
      <alignment horizontal="left" vertical="center" wrapText="1"/>
      <protection locked="0"/>
    </xf>
    <xf numFmtId="0" fontId="13" fillId="0" borderId="2" xfId="0" applyFont="1" applyFill="1" applyBorder="1" applyAlignment="1">
      <alignment horizontal="left" vertical="center"/>
    </xf>
    <xf numFmtId="0" fontId="9" fillId="0" borderId="3" xfId="0" applyNumberFormat="1" applyFont="1" applyFill="1" applyBorder="1" applyAlignment="1" applyProtection="1">
      <alignment horizontal="left" vertical="center" wrapText="1"/>
      <protection locked="0"/>
    </xf>
    <xf numFmtId="0" fontId="0" fillId="0" borderId="8" xfId="0" applyFill="1" applyBorder="1" applyAlignment="1">
      <alignment horizontal="center" vertical="center"/>
    </xf>
    <xf numFmtId="0" fontId="9" fillId="0" borderId="8" xfId="0" applyNumberFormat="1" applyFont="1" applyFill="1" applyBorder="1" applyAlignment="1" applyProtection="1">
      <alignment horizontal="left" vertical="center" wrapText="1"/>
      <protection locked="0"/>
    </xf>
    <xf numFmtId="0" fontId="9" fillId="0" borderId="8" xfId="0" applyFont="1" applyFill="1" applyBorder="1" applyAlignment="1">
      <alignment horizontal="center" vertical="center"/>
    </xf>
    <xf numFmtId="0" fontId="3" fillId="0" borderId="2" xfId="0" applyFont="1" applyFill="1" applyBorder="1">
      <alignment vertical="center"/>
    </xf>
    <xf numFmtId="0" fontId="3" fillId="0" borderId="13" xfId="0" applyFont="1" applyFill="1" applyBorder="1">
      <alignment vertical="center"/>
    </xf>
    <xf numFmtId="0" fontId="0" fillId="0" borderId="0" xfId="0" applyFont="1" applyFill="1" applyBorder="1">
      <alignment vertical="center"/>
    </xf>
    <xf numFmtId="0" fontId="0" fillId="0" borderId="0" xfId="0" applyFont="1" applyFill="1" applyBorder="1" applyAlignment="1">
      <alignment horizontal="center" vertical="center"/>
    </xf>
    <xf numFmtId="0" fontId="17" fillId="0" borderId="0" xfId="0" applyFont="1" applyFill="1" applyBorder="1" applyAlignment="1">
      <alignment horizontal="left" vertical="center"/>
    </xf>
    <xf numFmtId="0" fontId="0" fillId="0" borderId="0" xfId="0" applyFont="1" applyFill="1" applyBorder="1" applyAlignment="1">
      <alignment horizontal="left" vertical="center"/>
    </xf>
    <xf numFmtId="0" fontId="18" fillId="5" borderId="16" xfId="0" applyNumberFormat="1" applyFont="1" applyFill="1" applyBorder="1" applyAlignment="1">
      <alignment horizontal="center" vertical="center" wrapText="1"/>
    </xf>
    <xf numFmtId="0" fontId="18" fillId="5" borderId="16" xfId="0" applyNumberFormat="1" applyFont="1" applyFill="1" applyBorder="1" applyAlignment="1">
      <alignment horizontal="left" vertical="center" wrapText="1"/>
    </xf>
    <xf numFmtId="0" fontId="8" fillId="5" borderId="17" xfId="0" applyFont="1" applyFill="1" applyBorder="1" applyAlignment="1">
      <alignment horizontal="left" vertical="center" wrapText="1"/>
    </xf>
    <xf numFmtId="0" fontId="0" fillId="0" borderId="8" xfId="0" applyFill="1" applyBorder="1">
      <alignment vertical="center"/>
    </xf>
    <xf numFmtId="0" fontId="4" fillId="0" borderId="18" xfId="0" applyFont="1" applyFill="1" applyBorder="1" applyAlignment="1">
      <alignment horizontal="left" vertical="center"/>
    </xf>
    <xf numFmtId="0" fontId="0" fillId="0" borderId="7" xfId="0" applyFill="1" applyBorder="1">
      <alignment vertical="center"/>
    </xf>
    <xf numFmtId="0" fontId="4" fillId="0" borderId="19" xfId="0" applyFont="1" applyFill="1" applyBorder="1" applyAlignment="1">
      <alignment horizontal="left" vertical="center"/>
    </xf>
    <xf numFmtId="0" fontId="9" fillId="0" borderId="0" xfId="0" applyFont="1" applyFill="1" applyBorder="1" applyAlignment="1">
      <alignment horizontal="left" vertical="center"/>
    </xf>
    <xf numFmtId="0" fontId="0" fillId="0" borderId="2" xfId="0" applyFont="1" applyFill="1" applyBorder="1" applyAlignment="1">
      <alignment horizontal="center" vertical="center"/>
    </xf>
    <xf numFmtId="0" fontId="0" fillId="0" borderId="3" xfId="0" applyFont="1" applyFill="1" applyBorder="1" applyAlignment="1">
      <alignment horizontal="center" vertical="center"/>
    </xf>
    <xf numFmtId="0" fontId="19" fillId="0" borderId="2" xfId="0" applyNumberFormat="1" applyFont="1" applyFill="1" applyBorder="1" applyAlignment="1">
      <alignment horizontal="center" vertical="center" wrapText="1"/>
    </xf>
    <xf numFmtId="0" fontId="19" fillId="0" borderId="3" xfId="0" applyNumberFormat="1" applyFont="1" applyFill="1" applyBorder="1" applyAlignment="1">
      <alignment horizontal="center" vertical="center" wrapText="1"/>
    </xf>
    <xf numFmtId="0" fontId="9" fillId="0" borderId="12" xfId="0" applyFont="1" applyFill="1" applyBorder="1" applyAlignment="1">
      <alignment horizontal="left" vertical="center"/>
    </xf>
    <xf numFmtId="0" fontId="9" fillId="0" borderId="2" xfId="0" applyNumberFormat="1" applyFont="1" applyFill="1" applyBorder="1" applyAlignment="1">
      <alignment horizontal="left" vertical="center" wrapText="1"/>
    </xf>
    <xf numFmtId="0" fontId="19" fillId="0" borderId="9" xfId="0" applyNumberFormat="1" applyFont="1" applyFill="1" applyBorder="1" applyAlignment="1">
      <alignment horizontal="center" vertical="center" wrapText="1"/>
    </xf>
    <xf numFmtId="0" fontId="4" fillId="0" borderId="4" xfId="0" applyFont="1" applyFill="1" applyBorder="1" applyAlignment="1">
      <alignment horizontal="left" vertical="center"/>
    </xf>
    <xf numFmtId="0" fontId="0" fillId="0" borderId="9" xfId="0" applyFont="1" applyFill="1" applyBorder="1" applyAlignment="1">
      <alignment horizontal="center" vertical="center"/>
    </xf>
    <xf numFmtId="0" fontId="9" fillId="0" borderId="0" xfId="0" applyFont="1" applyFill="1" applyAlignment="1">
      <alignment horizontal="left" vertical="center"/>
    </xf>
    <xf numFmtId="0" fontId="0" fillId="0" borderId="2" xfId="0" applyFont="1" applyFill="1" applyBorder="1" applyAlignment="1">
      <alignment vertical="center"/>
    </xf>
    <xf numFmtId="0" fontId="9" fillId="0" borderId="18" xfId="0" applyFont="1" applyFill="1" applyBorder="1" applyAlignment="1">
      <alignment horizontal="left" vertical="center"/>
    </xf>
    <xf numFmtId="0" fontId="9" fillId="0" borderId="2" xfId="0" applyNumberFormat="1" applyFont="1" applyFill="1" applyBorder="1" applyAlignment="1">
      <alignment horizontal="left" vertical="center"/>
    </xf>
    <xf numFmtId="0" fontId="4" fillId="0" borderId="2" xfId="0" applyNumberFormat="1" applyFont="1" applyFill="1" applyBorder="1" applyAlignment="1">
      <alignment horizontal="left" vertical="center"/>
    </xf>
    <xf numFmtId="0" fontId="4" fillId="0" borderId="0" xfId="0" applyFont="1" applyFill="1" applyAlignment="1">
      <alignment horizontal="left" vertical="center"/>
    </xf>
    <xf numFmtId="0" fontId="10" fillId="0" borderId="0" xfId="0" applyFont="1" applyFill="1" applyAlignment="1">
      <alignment horizontal="left" vertical="center"/>
    </xf>
    <xf numFmtId="0" fontId="9" fillId="0" borderId="3" xfId="0" applyNumberFormat="1" applyFont="1" applyFill="1" applyBorder="1" applyAlignment="1">
      <alignment horizontal="left" vertical="center"/>
    </xf>
    <xf numFmtId="0" fontId="4" fillId="0" borderId="3" xfId="0" applyNumberFormat="1" applyFont="1" applyFill="1" applyBorder="1" applyAlignment="1">
      <alignment horizontal="left" vertical="center"/>
    </xf>
    <xf numFmtId="0" fontId="4" fillId="0" borderId="20" xfId="0" applyFont="1" applyFill="1" applyBorder="1" applyAlignment="1">
      <alignment horizontal="center" vertical="center"/>
    </xf>
    <xf numFmtId="0" fontId="4" fillId="0" borderId="2" xfId="0" applyNumberFormat="1" applyFont="1" applyFill="1" applyBorder="1" applyAlignment="1">
      <alignment horizontal="left" vertical="center" wrapText="1"/>
    </xf>
    <xf numFmtId="58" fontId="4" fillId="0" borderId="2" xfId="0" applyNumberFormat="1" applyFont="1" applyFill="1" applyBorder="1" applyAlignment="1">
      <alignment horizontal="left" vertical="center"/>
    </xf>
    <xf numFmtId="0" fontId="10" fillId="0" borderId="0" xfId="0" applyFont="1" applyFill="1" applyBorder="1" applyAlignment="1">
      <alignment horizontal="left" vertical="center"/>
    </xf>
    <xf numFmtId="0" fontId="0" fillId="0" borderId="7" xfId="0" applyFont="1" applyFill="1" applyBorder="1" applyAlignment="1">
      <alignment horizontal="center" vertical="center"/>
    </xf>
    <xf numFmtId="0" fontId="9" fillId="0" borderId="7" xfId="0" applyFont="1" applyFill="1" applyBorder="1" applyAlignment="1">
      <alignment horizontal="left" vertical="center" wrapText="1"/>
    </xf>
    <xf numFmtId="0" fontId="9" fillId="0" borderId="21" xfId="0" applyFont="1" applyFill="1" applyBorder="1" applyAlignment="1">
      <alignment horizontal="center" vertical="center"/>
    </xf>
    <xf numFmtId="0" fontId="10" fillId="0" borderId="22" xfId="0" applyFont="1" applyFill="1" applyBorder="1" applyAlignment="1">
      <alignment horizontal="left" vertical="center"/>
    </xf>
    <xf numFmtId="0" fontId="9" fillId="0" borderId="3" xfId="0" applyNumberFormat="1" applyFont="1" applyFill="1" applyBorder="1" applyAlignment="1">
      <alignment horizontal="left" vertical="center" wrapText="1"/>
    </xf>
    <xf numFmtId="0" fontId="4" fillId="0" borderId="3" xfId="0" applyNumberFormat="1" applyFont="1" applyFill="1" applyBorder="1" applyAlignment="1">
      <alignment horizontal="left" vertical="center" wrapText="1"/>
    </xf>
    <xf numFmtId="0" fontId="10" fillId="0" borderId="18" xfId="0" applyFont="1" applyFill="1" applyBorder="1" applyAlignment="1">
      <alignment horizontal="left" vertical="center"/>
    </xf>
    <xf numFmtId="0" fontId="0" fillId="0" borderId="23" xfId="0" applyFont="1" applyFill="1" applyBorder="1" applyAlignment="1">
      <alignment horizontal="left" vertical="center"/>
    </xf>
    <xf numFmtId="0" fontId="19" fillId="0" borderId="8" xfId="0" applyNumberFormat="1" applyFont="1" applyFill="1" applyBorder="1" applyAlignment="1">
      <alignment horizontal="center" vertical="center" wrapText="1"/>
    </xf>
    <xf numFmtId="0" fontId="0" fillId="0" borderId="7" xfId="0" applyFill="1" applyBorder="1" applyAlignment="1">
      <alignment horizontal="center" vertical="center"/>
    </xf>
    <xf numFmtId="0" fontId="9" fillId="0" borderId="8" xfId="0" applyFont="1" applyFill="1" applyBorder="1" applyAlignment="1">
      <alignment horizontal="left" vertical="center" wrapText="1"/>
    </xf>
    <xf numFmtId="0" fontId="4" fillId="0" borderId="8" xfId="0" applyFont="1" applyFill="1" applyBorder="1" applyAlignment="1">
      <alignment horizontal="left" vertical="center" wrapText="1"/>
    </xf>
    <xf numFmtId="0" fontId="4" fillId="0" borderId="8" xfId="0" applyNumberFormat="1" applyFont="1" applyFill="1" applyBorder="1" applyAlignment="1">
      <alignment horizontal="left" vertical="center" wrapText="1"/>
    </xf>
    <xf numFmtId="0" fontId="15" fillId="0" borderId="8" xfId="0" applyFont="1" applyFill="1" applyBorder="1" applyAlignment="1">
      <alignment horizontal="left" vertical="center"/>
    </xf>
    <xf numFmtId="0" fontId="20" fillId="0" borderId="2" xfId="0" applyFont="1" applyFill="1" applyBorder="1" applyAlignment="1">
      <alignment horizontal="left" vertical="center"/>
    </xf>
    <xf numFmtId="0" fontId="20" fillId="0" borderId="2" xfId="0" applyFont="1" applyFill="1" applyBorder="1" applyAlignment="1">
      <alignment horizontal="center" vertical="center"/>
    </xf>
    <xf numFmtId="0" fontId="11" fillId="0" borderId="2" xfId="0" applyFont="1" applyFill="1" applyBorder="1" applyAlignment="1">
      <alignment horizontal="left" vertical="center"/>
    </xf>
    <xf numFmtId="0" fontId="10" fillId="0" borderId="8" xfId="0" applyFont="1" applyFill="1" applyBorder="1" applyAlignment="1">
      <alignment horizontal="left" vertical="center"/>
    </xf>
    <xf numFmtId="0" fontId="21" fillId="0" borderId="2" xfId="0" applyFont="1" applyFill="1" applyBorder="1" applyAlignment="1">
      <alignment horizontal="center" vertical="center"/>
    </xf>
    <xf numFmtId="0" fontId="21" fillId="0" borderId="3" xfId="0" applyFont="1" applyFill="1" applyBorder="1" applyAlignment="1">
      <alignment horizontal="center" vertical="center"/>
    </xf>
    <xf numFmtId="0" fontId="17" fillId="0" borderId="0" xfId="0" applyFont="1" applyFill="1" applyBorder="1" applyAlignment="1">
      <alignment horizontal="center" vertical="center"/>
    </xf>
    <xf numFmtId="0" fontId="15" fillId="0" borderId="2" xfId="0" applyFont="1" applyFill="1" applyBorder="1" applyAlignment="1">
      <alignment horizontal="center" vertical="center"/>
    </xf>
    <xf numFmtId="0" fontId="11" fillId="0" borderId="2" xfId="0" applyFont="1" applyFill="1" applyBorder="1" applyAlignment="1">
      <alignment horizontal="center" vertical="center"/>
    </xf>
    <xf numFmtId="0" fontId="15" fillId="0" borderId="3" xfId="0" applyFont="1" applyFill="1" applyBorder="1" applyAlignment="1">
      <alignment horizontal="center" vertical="center"/>
    </xf>
    <xf numFmtId="0" fontId="13" fillId="0" borderId="2" xfId="0" applyFont="1" applyFill="1" applyBorder="1" applyAlignment="1">
      <alignment horizontal="center" vertical="center"/>
    </xf>
    <xf numFmtId="0" fontId="15" fillId="0" borderId="9" xfId="0" applyFont="1" applyFill="1" applyBorder="1" applyAlignment="1">
      <alignment horizontal="center" vertical="center"/>
    </xf>
    <xf numFmtId="0" fontId="4" fillId="0" borderId="2" xfId="0" applyNumberFormat="1" applyFont="1" applyFill="1" applyBorder="1" applyAlignment="1">
      <alignment horizontal="center" vertical="center"/>
    </xf>
    <xf numFmtId="0" fontId="15" fillId="0" borderId="8" xfId="0" applyFont="1" applyFill="1" applyBorder="1" applyAlignment="1">
      <alignment horizontal="center" vertical="center"/>
    </xf>
    <xf numFmtId="0" fontId="4" fillId="0" borderId="2" xfId="0" applyNumberFormat="1" applyFont="1" applyFill="1" applyBorder="1" applyAlignment="1">
      <alignment horizontal="center" vertical="center" wrapText="1"/>
    </xf>
    <xf numFmtId="0" fontId="21" fillId="0" borderId="2" xfId="0" applyNumberFormat="1" applyFont="1" applyFill="1" applyBorder="1" applyAlignment="1">
      <alignment horizontal="center" vertical="center" wrapText="1"/>
    </xf>
    <xf numFmtId="0" fontId="15" fillId="0" borderId="2" xfId="0" applyNumberFormat="1" applyFont="1" applyFill="1" applyBorder="1" applyAlignment="1">
      <alignment horizontal="center" vertical="center" wrapText="1"/>
    </xf>
    <xf numFmtId="0" fontId="4" fillId="0" borderId="3" xfId="0" applyNumberFormat="1" applyFont="1" applyFill="1" applyBorder="1" applyAlignment="1">
      <alignment horizontal="center" vertical="center" wrapText="1"/>
    </xf>
    <xf numFmtId="0" fontId="21" fillId="0" borderId="3" xfId="0" applyNumberFormat="1" applyFont="1" applyFill="1" applyBorder="1" applyAlignment="1">
      <alignment horizontal="center" vertical="center" wrapText="1"/>
    </xf>
    <xf numFmtId="0" fontId="15" fillId="0" borderId="3" xfId="0" applyNumberFormat="1" applyFont="1" applyFill="1" applyBorder="1" applyAlignment="1">
      <alignment horizontal="center" vertical="center" wrapText="1"/>
    </xf>
    <xf numFmtId="0" fontId="9" fillId="0" borderId="8" xfId="0" applyNumberFormat="1" applyFont="1" applyFill="1" applyBorder="1" applyAlignment="1">
      <alignment horizontal="left" vertical="center"/>
    </xf>
    <xf numFmtId="0" fontId="9" fillId="0" borderId="2" xfId="0" applyNumberFormat="1" applyFont="1" applyFill="1" applyBorder="1" applyAlignment="1">
      <alignment horizontal="center" vertical="center" wrapText="1"/>
    </xf>
    <xf numFmtId="0" fontId="11" fillId="0" borderId="2" xfId="0" applyNumberFormat="1" applyFont="1" applyFill="1" applyBorder="1" applyAlignment="1">
      <alignment horizontal="center" vertical="center" wrapText="1"/>
    </xf>
    <xf numFmtId="0" fontId="22" fillId="0" borderId="2" xfId="0" applyNumberFormat="1" applyFont="1" applyFill="1" applyBorder="1" applyAlignment="1">
      <alignment horizontal="center" vertical="center" wrapText="1"/>
    </xf>
    <xf numFmtId="0" fontId="9" fillId="0" borderId="3" xfId="0" applyNumberFormat="1" applyFont="1" applyFill="1" applyBorder="1" applyAlignment="1">
      <alignment horizontal="center" vertical="center" wrapText="1"/>
    </xf>
    <xf numFmtId="0" fontId="11" fillId="0" borderId="3" xfId="0" applyNumberFormat="1" applyFont="1" applyFill="1" applyBorder="1" applyAlignment="1">
      <alignment horizontal="center" vertical="center" wrapText="1"/>
    </xf>
    <xf numFmtId="0" fontId="22" fillId="0" borderId="3" xfId="0" applyNumberFormat="1" applyFont="1" applyFill="1" applyBorder="1" applyAlignment="1">
      <alignment horizontal="center" vertical="center" wrapText="1"/>
    </xf>
    <xf numFmtId="0" fontId="9" fillId="0" borderId="3" xfId="0" applyNumberFormat="1" applyFont="1" applyFill="1" applyBorder="1" applyAlignment="1">
      <alignment horizontal="center" vertical="center"/>
    </xf>
    <xf numFmtId="0" fontId="13" fillId="0" borderId="3" xfId="0" applyNumberFormat="1" applyFont="1" applyFill="1" applyBorder="1" applyAlignment="1">
      <alignment horizontal="center" vertical="center" wrapText="1"/>
    </xf>
    <xf numFmtId="0" fontId="15" fillId="0" borderId="0" xfId="0" applyFont="1" applyFill="1" applyBorder="1" applyAlignment="1">
      <alignment horizontal="center" vertical="center"/>
    </xf>
    <xf numFmtId="0" fontId="20" fillId="0" borderId="0" xfId="0" applyFont="1" applyFill="1" applyBorder="1" applyAlignment="1">
      <alignment horizontal="center" vertical="center"/>
    </xf>
    <xf numFmtId="0" fontId="17" fillId="0" borderId="12" xfId="0" applyFont="1" applyFill="1" applyBorder="1" applyAlignment="1">
      <alignment horizontal="center" vertical="center"/>
    </xf>
    <xf numFmtId="0" fontId="19" fillId="0" borderId="0" xfId="0" applyFont="1" applyFill="1" applyBorder="1" applyAlignment="1">
      <alignment horizontal="center" vertical="center"/>
    </xf>
    <xf numFmtId="0" fontId="8" fillId="5" borderId="24" xfId="0" applyNumberFormat="1" applyFont="1" applyFill="1" applyBorder="1" applyAlignment="1">
      <alignment horizontal="center" vertical="center" wrapText="1"/>
    </xf>
    <xf numFmtId="0" fontId="8" fillId="5" borderId="25" xfId="0" applyNumberFormat="1" applyFont="1" applyFill="1" applyBorder="1" applyAlignment="1">
      <alignment horizontal="left" vertical="center" wrapText="1"/>
    </xf>
    <xf numFmtId="0" fontId="8" fillId="5" borderId="25" xfId="0" applyNumberFormat="1" applyFont="1" applyFill="1" applyBorder="1" applyAlignment="1">
      <alignment horizontal="center" vertical="center" wrapText="1"/>
    </xf>
    <xf numFmtId="0" fontId="19" fillId="0" borderId="10" xfId="0" applyNumberFormat="1" applyFont="1" applyFill="1" applyBorder="1" applyAlignment="1">
      <alignment horizontal="center" vertical="center" wrapText="1"/>
    </xf>
    <xf numFmtId="0" fontId="9" fillId="0" borderId="26" xfId="0" applyFont="1" applyFill="1" applyBorder="1" applyAlignment="1">
      <alignment horizontal="left" vertical="center"/>
    </xf>
    <xf numFmtId="0" fontId="4" fillId="0" borderId="26" xfId="0" applyFont="1" applyFill="1" applyBorder="1" applyAlignment="1">
      <alignment horizontal="left" vertical="center"/>
    </xf>
    <xf numFmtId="0" fontId="9" fillId="0" borderId="26" xfId="0" applyFont="1" applyFill="1" applyBorder="1" applyAlignment="1">
      <alignment horizontal="left" vertical="center" wrapText="1"/>
    </xf>
    <xf numFmtId="0" fontId="4" fillId="0" borderId="26" xfId="0" applyFont="1" applyFill="1" applyBorder="1" applyAlignment="1">
      <alignment horizontal="center" vertical="center"/>
    </xf>
    <xf numFmtId="0" fontId="19" fillId="0" borderId="11" xfId="0" applyNumberFormat="1" applyFont="1" applyFill="1" applyBorder="1" applyAlignment="1">
      <alignment horizontal="center" vertical="center" wrapText="1"/>
    </xf>
    <xf numFmtId="0" fontId="4" fillId="0" borderId="27" xfId="0" applyFont="1" applyFill="1" applyBorder="1" applyAlignment="1">
      <alignment horizontal="left" vertical="center"/>
    </xf>
    <xf numFmtId="0" fontId="4" fillId="0" borderId="26" xfId="0" applyNumberFormat="1" applyFont="1" applyFill="1" applyBorder="1" applyAlignment="1">
      <alignment horizontal="left" vertical="center"/>
    </xf>
    <xf numFmtId="0" fontId="19" fillId="0" borderId="28" xfId="0" applyNumberFormat="1" applyFont="1" applyFill="1" applyBorder="1" applyAlignment="1">
      <alignment horizontal="center" vertical="center" wrapText="1"/>
    </xf>
    <xf numFmtId="0" fontId="9" fillId="0" borderId="29" xfId="0" applyFont="1" applyFill="1" applyBorder="1" applyAlignment="1">
      <alignment horizontal="left" vertical="center"/>
    </xf>
    <xf numFmtId="0" fontId="9" fillId="0" borderId="29" xfId="0" applyFont="1" applyFill="1" applyBorder="1" applyAlignment="1">
      <alignment horizontal="left" vertical="center" wrapText="1"/>
    </xf>
    <xf numFmtId="0" fontId="4" fillId="0" borderId="29" xfId="0" applyFont="1" applyFill="1" applyBorder="1" applyAlignment="1">
      <alignment horizontal="left" vertical="center"/>
    </xf>
    <xf numFmtId="0" fontId="4" fillId="0" borderId="29" xfId="0" applyNumberFormat="1" applyFont="1" applyFill="1" applyBorder="1" applyAlignment="1">
      <alignment horizontal="left" vertical="center"/>
    </xf>
    <xf numFmtId="0" fontId="4" fillId="0" borderId="29" xfId="0" applyFont="1" applyFill="1" applyBorder="1" applyAlignment="1">
      <alignment horizontal="center" vertical="center"/>
    </xf>
    <xf numFmtId="0" fontId="9" fillId="0" borderId="27" xfId="0" applyNumberFormat="1" applyFont="1" applyFill="1" applyBorder="1" applyAlignment="1">
      <alignment horizontal="left" vertical="center"/>
    </xf>
    <xf numFmtId="0" fontId="4" fillId="0" borderId="27" xfId="0" applyNumberFormat="1" applyFont="1" applyFill="1" applyBorder="1" applyAlignment="1">
      <alignment horizontal="left" vertical="center"/>
    </xf>
    <xf numFmtId="0" fontId="9" fillId="0" borderId="27" xfId="0" applyNumberFormat="1" applyFont="1" applyFill="1" applyBorder="1" applyAlignment="1">
      <alignment horizontal="left" vertical="center" wrapText="1"/>
    </xf>
    <xf numFmtId="0" fontId="4" fillId="0" borderId="27" xfId="0" applyNumberFormat="1" applyFont="1" applyFill="1" applyBorder="1" applyAlignment="1">
      <alignment horizontal="center" vertical="center"/>
    </xf>
    <xf numFmtId="0" fontId="19" fillId="0" borderId="30" xfId="0" applyNumberFormat="1" applyFont="1" applyFill="1" applyBorder="1" applyAlignment="1">
      <alignment horizontal="center" vertical="center" wrapText="1"/>
    </xf>
    <xf numFmtId="0" fontId="9" fillId="0" borderId="31" xfId="0" applyFont="1" applyFill="1" applyBorder="1" applyAlignment="1">
      <alignment horizontal="left" vertical="center"/>
    </xf>
    <xf numFmtId="0" fontId="9" fillId="0" borderId="31" xfId="0" applyFont="1" applyFill="1" applyBorder="1" applyAlignment="1">
      <alignment horizontal="left" vertical="center" wrapText="1"/>
    </xf>
    <xf numFmtId="0" fontId="4" fillId="0" borderId="31" xfId="0" applyFont="1" applyFill="1" applyBorder="1" applyAlignment="1">
      <alignment horizontal="left" vertical="center"/>
    </xf>
    <xf numFmtId="0" fontId="4" fillId="0" borderId="31" xfId="0" applyFont="1" applyFill="1" applyBorder="1" applyAlignment="1">
      <alignment horizontal="center" vertical="center"/>
    </xf>
    <xf numFmtId="0" fontId="4" fillId="0" borderId="10" xfId="0" applyFont="1" applyFill="1" applyBorder="1" applyAlignment="1">
      <alignment horizontal="center" vertical="center"/>
    </xf>
    <xf numFmtId="0" fontId="9" fillId="0" borderId="26" xfId="0" applyNumberFormat="1" applyFont="1" applyFill="1" applyBorder="1" applyAlignment="1">
      <alignment horizontal="left" vertical="center" wrapText="1"/>
    </xf>
    <xf numFmtId="0" fontId="4" fillId="0" borderId="11" xfId="0" applyFont="1" applyFill="1" applyBorder="1" applyAlignment="1">
      <alignment horizontal="center" vertical="center"/>
    </xf>
    <xf numFmtId="0" fontId="4" fillId="0" borderId="27" xfId="0" applyFont="1" applyFill="1" applyBorder="1" applyAlignment="1">
      <alignment horizontal="center" vertical="center"/>
    </xf>
    <xf numFmtId="0" fontId="9" fillId="0" borderId="26" xfId="0" applyFont="1" applyFill="1" applyBorder="1" applyAlignment="1">
      <alignment horizontal="center" vertical="center"/>
    </xf>
    <xf numFmtId="0" fontId="4" fillId="0" borderId="28" xfId="0" applyFont="1" applyFill="1" applyBorder="1" applyAlignment="1">
      <alignment vertical="center"/>
    </xf>
    <xf numFmtId="0" fontId="4" fillId="0" borderId="10" xfId="0" applyFont="1" applyFill="1" applyBorder="1" applyAlignment="1">
      <alignment vertical="center"/>
    </xf>
    <xf numFmtId="0" fontId="4" fillId="0" borderId="28" xfId="0" applyFont="1" applyFill="1" applyBorder="1" applyAlignment="1">
      <alignment horizontal="center" vertical="center"/>
    </xf>
    <xf numFmtId="0" fontId="9" fillId="0" borderId="27" xfId="0" applyFont="1" applyFill="1" applyBorder="1" applyAlignment="1">
      <alignment horizontal="left" vertical="center" wrapText="1"/>
    </xf>
    <xf numFmtId="0" fontId="9" fillId="0" borderId="27" xfId="0" applyFont="1" applyFill="1" applyBorder="1" applyAlignment="1">
      <alignment horizontal="left" vertical="center"/>
    </xf>
    <xf numFmtId="0" fontId="5" fillId="0" borderId="10" xfId="0" applyNumberFormat="1" applyFont="1" applyFill="1" applyBorder="1" applyAlignment="1">
      <alignment horizontal="center" vertical="center" wrapText="1"/>
    </xf>
    <xf numFmtId="0" fontId="5" fillId="0" borderId="11" xfId="0" applyNumberFormat="1" applyFont="1" applyFill="1" applyBorder="1" applyAlignment="1">
      <alignment horizontal="center" vertical="center" wrapText="1"/>
    </xf>
    <xf numFmtId="0" fontId="4" fillId="0" borderId="26" xfId="0" applyFont="1" applyFill="1" applyBorder="1" applyAlignment="1">
      <alignment horizontal="left" vertical="center" wrapText="1"/>
    </xf>
    <xf numFmtId="0" fontId="4" fillId="0" borderId="27" xfId="0" applyFont="1" applyFill="1" applyBorder="1" applyAlignment="1">
      <alignment horizontal="left" vertical="center" wrapText="1"/>
    </xf>
    <xf numFmtId="0" fontId="9" fillId="0" borderId="32" xfId="0" applyFont="1" applyFill="1" applyBorder="1" applyAlignment="1">
      <alignment horizontal="left" vertical="center"/>
    </xf>
    <xf numFmtId="0" fontId="4" fillId="0" borderId="32" xfId="0" applyFont="1" applyFill="1" applyBorder="1" applyAlignment="1">
      <alignment horizontal="left" vertical="center"/>
    </xf>
    <xf numFmtId="0" fontId="9" fillId="0" borderId="32" xfId="0" applyFont="1" applyFill="1" applyBorder="1" applyAlignment="1">
      <alignment horizontal="left" vertical="center" wrapText="1"/>
    </xf>
    <xf numFmtId="0" fontId="4" fillId="0" borderId="32" xfId="0" applyNumberFormat="1" applyFont="1" applyFill="1" applyBorder="1" applyAlignment="1">
      <alignment horizontal="left" vertical="center"/>
    </xf>
    <xf numFmtId="0" fontId="4" fillId="0" borderId="32" xfId="0" applyFont="1" applyFill="1" applyBorder="1" applyAlignment="1">
      <alignment horizontal="center" vertical="center"/>
    </xf>
    <xf numFmtId="0" fontId="4" fillId="0" borderId="32" xfId="0" applyFont="1" applyFill="1" applyBorder="1" applyAlignment="1">
      <alignment horizontal="left" vertical="center" wrapText="1"/>
    </xf>
    <xf numFmtId="0" fontId="4" fillId="0" borderId="33" xfId="0" applyFont="1" applyFill="1" applyBorder="1" applyAlignment="1">
      <alignment horizontal="left" vertical="center"/>
    </xf>
    <xf numFmtId="0" fontId="16" fillId="0" borderId="26" xfId="0" applyFont="1" applyFill="1" applyBorder="1" applyAlignment="1">
      <alignment horizontal="left" vertical="center"/>
    </xf>
    <xf numFmtId="0" fontId="16" fillId="0" borderId="32" xfId="0" applyFont="1" applyFill="1" applyBorder="1" applyAlignment="1">
      <alignment horizontal="left" vertical="center"/>
    </xf>
    <xf numFmtId="0" fontId="9" fillId="0" borderId="26" xfId="0" applyNumberFormat="1" applyFont="1" applyFill="1" applyBorder="1" applyAlignment="1">
      <alignment horizontal="center" vertical="center" wrapText="1"/>
    </xf>
    <xf numFmtId="0" fontId="23" fillId="0" borderId="26" xfId="0" applyFont="1" applyFill="1" applyBorder="1" applyAlignment="1">
      <alignment horizontal="left" vertical="center" wrapText="1"/>
    </xf>
    <xf numFmtId="0" fontId="23" fillId="0" borderId="27" xfId="0" applyFont="1" applyFill="1" applyBorder="1" applyAlignment="1">
      <alignment horizontal="left" vertical="center" wrapText="1"/>
    </xf>
    <xf numFmtId="0" fontId="4" fillId="0" borderId="11" xfId="0" applyFont="1" applyFill="1" applyBorder="1" applyAlignment="1">
      <alignment vertical="center"/>
    </xf>
    <xf numFmtId="0" fontId="9" fillId="0" borderId="27" xfId="0" applyFont="1" applyFill="1" applyBorder="1" applyAlignment="1">
      <alignment horizontal="center" vertical="center"/>
    </xf>
    <xf numFmtId="0" fontId="9" fillId="0" borderId="26" xfId="0" applyNumberFormat="1" applyFont="1" applyFill="1" applyBorder="1" applyAlignment="1">
      <alignment horizontal="left" vertical="center"/>
    </xf>
    <xf numFmtId="0" fontId="9" fillId="0" borderId="29" xfId="0" applyFont="1" applyFill="1" applyBorder="1" applyAlignment="1">
      <alignment horizontal="center" vertical="center"/>
    </xf>
    <xf numFmtId="0" fontId="4" fillId="0" borderId="34" xfId="0" applyFont="1" applyFill="1" applyBorder="1" applyAlignment="1">
      <alignment horizontal="center" vertical="center"/>
    </xf>
    <xf numFmtId="0" fontId="4" fillId="0" borderId="26" xfId="0" applyNumberFormat="1" applyFont="1" applyFill="1" applyBorder="1" applyAlignment="1">
      <alignment horizontal="left" vertical="center" wrapText="1"/>
    </xf>
    <xf numFmtId="0" fontId="4" fillId="0" borderId="27" xfId="0" applyNumberFormat="1" applyFont="1" applyFill="1" applyBorder="1" applyAlignment="1">
      <alignment horizontal="left" vertical="center" wrapText="1"/>
    </xf>
    <xf numFmtId="0" fontId="19" fillId="0" borderId="0" xfId="0" applyNumberFormat="1" applyFont="1" applyFill="1" applyBorder="1" applyAlignment="1">
      <alignment horizontal="center" vertical="center" wrapText="1"/>
    </xf>
    <xf numFmtId="0" fontId="19" fillId="0" borderId="12" xfId="0" applyNumberFormat="1" applyFont="1" applyFill="1" applyBorder="1" applyAlignment="1">
      <alignment horizontal="center" vertical="center" wrapText="1"/>
    </xf>
    <xf numFmtId="0" fontId="10" fillId="0" borderId="26" xfId="0" applyFont="1" applyFill="1" applyBorder="1" applyAlignment="1">
      <alignment horizontal="left" vertical="center"/>
    </xf>
    <xf numFmtId="0" fontId="15" fillId="0" borderId="26" xfId="0" applyFont="1" applyFill="1" applyBorder="1" applyAlignment="1">
      <alignment horizontal="left" vertical="center" wrapText="1"/>
    </xf>
    <xf numFmtId="0" fontId="0" fillId="0" borderId="0" xfId="0" applyFill="1">
      <alignment vertical="center"/>
    </xf>
    <xf numFmtId="0" fontId="13" fillId="0" borderId="26" xfId="0" applyFont="1" applyFill="1" applyBorder="1" applyAlignment="1">
      <alignment horizontal="left" vertical="center"/>
    </xf>
    <xf numFmtId="0" fontId="11" fillId="0" borderId="26" xfId="0" applyFont="1" applyFill="1" applyBorder="1" applyAlignment="1">
      <alignment horizontal="left" vertical="center"/>
    </xf>
    <xf numFmtId="0" fontId="13" fillId="0" borderId="27" xfId="0" applyFont="1" applyFill="1" applyBorder="1" applyAlignment="1">
      <alignment horizontal="left" vertical="center"/>
    </xf>
    <xf numFmtId="0" fontId="0" fillId="0" borderId="12" xfId="0" applyFill="1" applyBorder="1">
      <alignment vertical="center"/>
    </xf>
    <xf numFmtId="0" fontId="4" fillId="0" borderId="0" xfId="0" applyFont="1" applyFill="1" applyBorder="1" applyAlignment="1">
      <alignment vertical="center"/>
    </xf>
    <xf numFmtId="0" fontId="4" fillId="0" borderId="12" xfId="0" applyFont="1" applyFill="1" applyBorder="1" applyAlignment="1">
      <alignment vertical="center"/>
    </xf>
    <xf numFmtId="0" fontId="10" fillId="0" borderId="29" xfId="0" applyFont="1" applyFill="1" applyBorder="1" applyAlignment="1">
      <alignment horizontal="center" vertical="center"/>
    </xf>
    <xf numFmtId="0" fontId="10" fillId="0" borderId="26" xfId="0" applyFont="1" applyFill="1" applyBorder="1" applyAlignment="1">
      <alignment horizontal="center" vertical="center"/>
    </xf>
    <xf numFmtId="0" fontId="5" fillId="0" borderId="12" xfId="0" applyNumberFormat="1" applyFont="1" applyFill="1" applyBorder="1" applyAlignment="1">
      <alignment horizontal="center" vertical="center" wrapText="1"/>
    </xf>
    <xf numFmtId="0" fontId="9" fillId="0" borderId="29" xfId="0" applyNumberFormat="1" applyFont="1" applyFill="1" applyBorder="1" applyAlignment="1">
      <alignment horizontal="left" vertical="center"/>
    </xf>
    <xf numFmtId="0" fontId="19" fillId="0" borderId="0" xfId="0" applyNumberFormat="1" applyFont="1" applyFill="1" applyBorder="1" applyAlignment="1">
      <alignment vertical="center" wrapText="1"/>
    </xf>
    <xf numFmtId="0" fontId="19" fillId="0" borderId="12" xfId="0" applyNumberFormat="1" applyFont="1" applyFill="1" applyBorder="1" applyAlignment="1">
      <alignment vertical="center" wrapText="1"/>
    </xf>
    <xf numFmtId="0" fontId="15" fillId="0" borderId="26" xfId="0" applyNumberFormat="1" applyFont="1" applyFill="1" applyBorder="1" applyAlignment="1">
      <alignment horizontal="left" vertical="center" wrapText="1"/>
    </xf>
    <xf numFmtId="0" fontId="4" fillId="0" borderId="19" xfId="0" applyFont="1" applyFill="1" applyBorder="1" applyAlignment="1">
      <alignment horizontal="center" vertical="center"/>
    </xf>
    <xf numFmtId="0" fontId="4" fillId="0" borderId="4" xfId="0" applyFont="1" applyFill="1" applyBorder="1" applyAlignment="1">
      <alignment vertical="center"/>
    </xf>
    <xf numFmtId="0" fontId="0" fillId="0" borderId="0" xfId="0" applyFont="1" applyFill="1" applyBorder="1" applyAlignment="1">
      <alignment vertical="center"/>
    </xf>
    <xf numFmtId="0" fontId="0" fillId="0" borderId="0" xfId="0" applyFont="1" applyFill="1" applyAlignment="1">
      <alignment horizontal="center" vertical="center"/>
    </xf>
    <xf numFmtId="0" fontId="0" fillId="0" borderId="35" xfId="0" applyFill="1" applyBorder="1" applyAlignment="1">
      <alignment horizontal="center" vertical="center"/>
    </xf>
    <xf numFmtId="0" fontId="19" fillId="0" borderId="36" xfId="0" applyNumberFormat="1" applyFont="1" applyFill="1" applyBorder="1" applyAlignment="1">
      <alignment horizontal="center" vertical="center" wrapText="1"/>
    </xf>
    <xf numFmtId="0" fontId="9" fillId="0" borderId="37" xfId="0" applyFont="1" applyFill="1" applyBorder="1" applyAlignment="1">
      <alignment horizontal="left" vertical="center"/>
    </xf>
    <xf numFmtId="0" fontId="4" fillId="0" borderId="37" xfId="0" applyFont="1" applyFill="1" applyBorder="1" applyAlignment="1">
      <alignment horizontal="left" vertical="center"/>
    </xf>
    <xf numFmtId="0" fontId="4" fillId="0" borderId="37" xfId="0" applyNumberFormat="1" applyFont="1" applyFill="1" applyBorder="1" applyAlignment="1">
      <alignment horizontal="left" vertical="center"/>
    </xf>
    <xf numFmtId="0" fontId="9" fillId="0" borderId="37" xfId="0" applyFont="1" applyFill="1" applyBorder="1" applyAlignment="1">
      <alignment horizontal="center" vertical="center"/>
    </xf>
    <xf numFmtId="0" fontId="0" fillId="0" borderId="28" xfId="0" applyFill="1" applyBorder="1" applyAlignment="1">
      <alignment horizontal="center" vertical="center"/>
    </xf>
    <xf numFmtId="0" fontId="9" fillId="0" borderId="9" xfId="0" applyNumberFormat="1" applyFont="1" applyFill="1" applyBorder="1" applyAlignment="1">
      <alignment horizontal="left" vertical="center" wrapText="1"/>
    </xf>
    <xf numFmtId="0" fontId="4" fillId="0" borderId="9" xfId="0" applyNumberFormat="1" applyFont="1" applyFill="1" applyBorder="1" applyAlignment="1">
      <alignment horizontal="left" vertical="center"/>
    </xf>
    <xf numFmtId="0" fontId="9" fillId="0" borderId="38" xfId="0" applyNumberFormat="1" applyFont="1" applyFill="1" applyBorder="1" applyAlignment="1">
      <alignment horizontal="left" vertical="center" wrapText="1"/>
    </xf>
    <xf numFmtId="0" fontId="4" fillId="0" borderId="39" xfId="0" applyFont="1" applyFill="1" applyBorder="1" applyAlignment="1">
      <alignment horizontal="left" vertical="center" wrapText="1"/>
    </xf>
    <xf numFmtId="0" fontId="4" fillId="0" borderId="5" xfId="0" applyNumberFormat="1" applyFont="1" applyFill="1" applyBorder="1" applyAlignment="1">
      <alignment horizontal="left" vertical="center"/>
    </xf>
    <xf numFmtId="0" fontId="9" fillId="0" borderId="40" xfId="0" applyNumberFormat="1" applyFont="1" applyFill="1" applyBorder="1" applyAlignment="1">
      <alignment horizontal="left" vertical="center" wrapText="1"/>
    </xf>
    <xf numFmtId="0" fontId="4" fillId="0" borderId="41" xfId="0" applyFont="1" applyFill="1" applyBorder="1" applyAlignment="1">
      <alignment horizontal="left" vertical="center" wrapText="1"/>
    </xf>
    <xf numFmtId="0" fontId="4" fillId="0" borderId="6" xfId="0" applyNumberFormat="1" applyFont="1" applyFill="1" applyBorder="1" applyAlignment="1">
      <alignment horizontal="left" vertical="center"/>
    </xf>
    <xf numFmtId="0" fontId="9" fillId="0" borderId="2" xfId="0" applyNumberFormat="1" applyFont="1" applyFill="1" applyBorder="1" applyAlignment="1">
      <alignment horizontal="center" vertical="center"/>
    </xf>
    <xf numFmtId="0" fontId="24" fillId="0" borderId="0" xfId="0" applyFont="1" applyFill="1" applyBorder="1" applyAlignment="1">
      <alignment vertical="center"/>
    </xf>
    <xf numFmtId="0" fontId="24" fillId="0" borderId="0" xfId="0" applyFont="1" applyFill="1" applyBorder="1" applyAlignment="1">
      <alignment horizontal="center" vertical="center"/>
    </xf>
    <xf numFmtId="0" fontId="24" fillId="0" borderId="12" xfId="0" applyFont="1" applyFill="1" applyBorder="1" applyAlignment="1">
      <alignment horizontal="center" vertical="center"/>
    </xf>
    <xf numFmtId="0" fontId="0" fillId="0" borderId="4" xfId="0" applyFill="1" applyBorder="1" applyAlignment="1">
      <alignment horizontal="center" vertical="center"/>
    </xf>
    <xf numFmtId="0" fontId="12" fillId="0" borderId="8" xfId="0" applyNumberFormat="1" applyFont="1" applyFill="1" applyBorder="1" applyAlignment="1">
      <alignment horizontal="center" vertical="center" wrapText="1"/>
    </xf>
    <xf numFmtId="0" fontId="4" fillId="0" borderId="42" xfId="0" applyFont="1" applyFill="1" applyBorder="1" applyAlignment="1">
      <alignment vertical="center"/>
    </xf>
    <xf numFmtId="0" fontId="4" fillId="0" borderId="8" xfId="0" applyFont="1" applyFill="1" applyBorder="1" applyAlignment="1">
      <alignment vertical="center"/>
    </xf>
    <xf numFmtId="0" fontId="4" fillId="0" borderId="43" xfId="0" applyFont="1" applyFill="1" applyBorder="1" applyAlignment="1">
      <alignment horizontal="center" vertical="center"/>
    </xf>
    <xf numFmtId="0" fontId="9" fillId="0" borderId="0" xfId="0" applyFont="1" applyFill="1">
      <alignment vertical="center"/>
    </xf>
    <xf numFmtId="0" fontId="4" fillId="0" borderId="40" xfId="0" applyFont="1" applyFill="1" applyBorder="1" applyAlignment="1">
      <alignment vertical="center"/>
    </xf>
    <xf numFmtId="0" fontId="4" fillId="0" borderId="1" xfId="0" applyFont="1" applyFill="1" applyBorder="1" applyAlignment="1">
      <alignment horizontal="left" vertical="center"/>
    </xf>
    <xf numFmtId="0" fontId="4" fillId="0" borderId="3" xfId="0" applyNumberFormat="1" applyFont="1" applyFill="1" applyBorder="1" applyAlignment="1">
      <alignment horizontal="center" vertical="center"/>
    </xf>
    <xf numFmtId="0" fontId="20" fillId="0" borderId="3" xfId="0" applyFont="1" applyFill="1" applyBorder="1" applyAlignment="1">
      <alignment horizontal="left" vertical="center"/>
    </xf>
    <xf numFmtId="0" fontId="12" fillId="0" borderId="13" xfId="0" applyNumberFormat="1" applyFont="1" applyFill="1" applyBorder="1" applyAlignment="1">
      <alignment horizontal="center" vertical="center" wrapText="1"/>
    </xf>
    <xf numFmtId="0" fontId="20" fillId="0" borderId="13" xfId="0" applyFont="1" applyFill="1" applyBorder="1" applyAlignment="1">
      <alignment horizontal="left" vertical="center"/>
    </xf>
    <xf numFmtId="0" fontId="15" fillId="0" borderId="2" xfId="0" applyNumberFormat="1" applyFont="1" applyFill="1" applyBorder="1" applyAlignment="1">
      <alignment horizontal="left" vertical="center"/>
    </xf>
    <xf numFmtId="0" fontId="15" fillId="0" borderId="3" xfId="0" applyNumberFormat="1" applyFont="1" applyFill="1" applyBorder="1" applyAlignment="1">
      <alignment horizontal="left" vertical="center"/>
    </xf>
    <xf numFmtId="0" fontId="0" fillId="0" borderId="44" xfId="0" applyFill="1" applyBorder="1">
      <alignment vertical="center"/>
    </xf>
    <xf numFmtId="0" fontId="9" fillId="0" borderId="7" xfId="0" applyNumberFormat="1" applyFont="1" applyFill="1" applyBorder="1" applyAlignment="1">
      <alignment horizontal="left" vertical="center" wrapText="1"/>
    </xf>
    <xf numFmtId="0" fontId="4" fillId="0" borderId="7" xfId="0" applyNumberFormat="1" applyFont="1" applyFill="1" applyBorder="1" applyAlignment="1">
      <alignment horizontal="left" vertical="center" wrapText="1"/>
    </xf>
    <xf numFmtId="0" fontId="4" fillId="0" borderId="7" xfId="0" applyNumberFormat="1" applyFont="1" applyFill="1" applyBorder="1" applyAlignment="1">
      <alignment horizontal="left" vertical="center"/>
    </xf>
    <xf numFmtId="0" fontId="15" fillId="0" borderId="7" xfId="0" applyNumberFormat="1" applyFont="1" applyFill="1" applyBorder="1" applyAlignment="1">
      <alignment horizontal="left" vertical="center"/>
    </xf>
    <xf numFmtId="0" fontId="15" fillId="0" borderId="3" xfId="0" applyNumberFormat="1" applyFont="1" applyFill="1" applyBorder="1" applyAlignment="1">
      <alignment horizontal="left" vertical="center" wrapText="1"/>
    </xf>
    <xf numFmtId="0" fontId="9" fillId="0" borderId="8" xfId="0" applyNumberFormat="1" applyFont="1" applyFill="1" applyBorder="1" applyAlignment="1">
      <alignment horizontal="left" vertical="center" wrapText="1"/>
    </xf>
    <xf numFmtId="0" fontId="4" fillId="0" borderId="8" xfId="0" applyNumberFormat="1" applyFont="1" applyFill="1" applyBorder="1" applyAlignment="1">
      <alignment horizontal="left" vertical="center"/>
    </xf>
    <xf numFmtId="0" fontId="4" fillId="0" borderId="45" xfId="0" applyFont="1" applyFill="1" applyBorder="1" applyAlignment="1">
      <alignment horizontal="left" vertical="center"/>
    </xf>
    <xf numFmtId="0" fontId="4" fillId="0" borderId="46" xfId="0" applyNumberFormat="1" applyFont="1" applyFill="1" applyBorder="1" applyAlignment="1">
      <alignment horizontal="left" vertical="center"/>
    </xf>
    <xf numFmtId="0" fontId="4" fillId="0" borderId="46" xfId="0" applyNumberFormat="1" applyFont="1" applyFill="1" applyBorder="1" applyAlignment="1">
      <alignment horizontal="left" vertical="center" wrapText="1"/>
    </xf>
    <xf numFmtId="0" fontId="15" fillId="0" borderId="46" xfId="0" applyNumberFormat="1" applyFont="1" applyFill="1" applyBorder="1" applyAlignment="1">
      <alignment horizontal="left" vertical="center"/>
    </xf>
    <xf numFmtId="0" fontId="4" fillId="0" borderId="47" xfId="0" applyFont="1" applyFill="1" applyBorder="1" applyAlignment="1">
      <alignment horizontal="center" vertical="center"/>
    </xf>
    <xf numFmtId="0" fontId="4" fillId="0" borderId="48" xfId="0" applyFont="1" applyFill="1" applyBorder="1" applyAlignment="1">
      <alignment horizontal="left" vertical="center"/>
    </xf>
    <xf numFmtId="0" fontId="4" fillId="0" borderId="49" xfId="0" applyNumberFormat="1" applyFont="1" applyFill="1" applyBorder="1" applyAlignment="1">
      <alignment horizontal="left" vertical="center"/>
    </xf>
    <xf numFmtId="0" fontId="4" fillId="0" borderId="49" xfId="0" applyNumberFormat="1" applyFont="1" applyFill="1" applyBorder="1" applyAlignment="1">
      <alignment horizontal="left" vertical="center" wrapText="1"/>
    </xf>
    <xf numFmtId="0" fontId="15" fillId="0" borderId="49" xfId="0" applyNumberFormat="1" applyFont="1" applyFill="1" applyBorder="1" applyAlignment="1">
      <alignment horizontal="left" vertical="center"/>
    </xf>
    <xf numFmtId="0" fontId="4" fillId="0" borderId="50" xfId="0" applyFont="1" applyFill="1" applyBorder="1" applyAlignment="1">
      <alignment horizontal="center" vertical="center"/>
    </xf>
    <xf numFmtId="0" fontId="4" fillId="0" borderId="45" xfId="0" applyNumberFormat="1" applyFont="1" applyFill="1" applyBorder="1" applyAlignment="1">
      <alignment horizontal="left" vertical="center" wrapText="1"/>
    </xf>
    <xf numFmtId="0" fontId="15" fillId="0" borderId="2" xfId="0" applyNumberFormat="1" applyFont="1" applyFill="1" applyBorder="1" applyAlignment="1">
      <alignment horizontal="left" vertical="center" wrapText="1"/>
    </xf>
    <xf numFmtId="0" fontId="4" fillId="0" borderId="51" xfId="0" applyFont="1" applyFill="1" applyBorder="1" applyAlignment="1">
      <alignment horizontal="left" vertical="center"/>
    </xf>
    <xf numFmtId="0" fontId="4" fillId="0" borderId="50" xfId="0" applyFont="1" applyFill="1" applyBorder="1" applyAlignment="1">
      <alignment horizontal="left" vertical="center"/>
    </xf>
    <xf numFmtId="0" fontId="0" fillId="0" borderId="40" xfId="0" applyFill="1" applyBorder="1">
      <alignment vertical="center"/>
    </xf>
    <xf numFmtId="0" fontId="9" fillId="0" borderId="0" xfId="0" applyNumberFormat="1" applyFont="1" applyFill="1" applyBorder="1" applyAlignment="1">
      <alignment horizontal="left" vertical="center" wrapText="1"/>
    </xf>
    <xf numFmtId="0" fontId="9" fillId="0" borderId="42" xfId="0" applyNumberFormat="1" applyFont="1" applyFill="1" applyBorder="1" applyAlignment="1">
      <alignment horizontal="left" vertical="center" wrapText="1"/>
    </xf>
    <xf numFmtId="0" fontId="4" fillId="0" borderId="52" xfId="0" applyFont="1" applyFill="1" applyBorder="1" applyAlignment="1">
      <alignment horizontal="left" vertical="center"/>
    </xf>
    <xf numFmtId="0" fontId="15" fillId="0" borderId="8" xfId="0" applyNumberFormat="1" applyFont="1" applyFill="1" applyBorder="1" applyAlignment="1">
      <alignment horizontal="left" vertical="center" wrapText="1"/>
    </xf>
    <xf numFmtId="0" fontId="0" fillId="0" borderId="1" xfId="0" applyFill="1" applyBorder="1">
      <alignment vertical="center"/>
    </xf>
    <xf numFmtId="0" fontId="9" fillId="0" borderId="1" xfId="0" applyNumberFormat="1" applyFont="1" applyFill="1" applyBorder="1" applyAlignment="1">
      <alignment horizontal="left" vertical="center" wrapText="1"/>
    </xf>
    <xf numFmtId="0" fontId="4" fillId="0" borderId="1" xfId="0" applyNumberFormat="1" applyFont="1" applyFill="1" applyBorder="1" applyAlignment="1">
      <alignment horizontal="left" vertical="center"/>
    </xf>
    <xf numFmtId="0" fontId="4" fillId="0" borderId="1" xfId="0" applyNumberFormat="1" applyFont="1" applyFill="1" applyBorder="1" applyAlignment="1">
      <alignment horizontal="left" vertical="center" wrapText="1"/>
    </xf>
    <xf numFmtId="0" fontId="15" fillId="0" borderId="1" xfId="0" applyNumberFormat="1" applyFont="1" applyFill="1" applyBorder="1" applyAlignment="1">
      <alignment horizontal="left" vertical="center" wrapText="1"/>
    </xf>
    <xf numFmtId="0" fontId="4" fillId="0" borderId="1" xfId="0" applyFont="1" applyFill="1" applyBorder="1" applyAlignment="1">
      <alignment horizontal="center" vertical="center"/>
    </xf>
    <xf numFmtId="0" fontId="4" fillId="0" borderId="9" xfId="0" applyNumberFormat="1" applyFont="1" applyFill="1" applyBorder="1" applyAlignment="1">
      <alignment horizontal="left" vertical="center" wrapText="1"/>
    </xf>
    <xf numFmtId="0" fontId="15" fillId="0" borderId="9" xfId="0" applyNumberFormat="1" applyFont="1" applyFill="1" applyBorder="1" applyAlignment="1">
      <alignment horizontal="left" vertical="center" wrapText="1"/>
    </xf>
    <xf numFmtId="0" fontId="20" fillId="0" borderId="2" xfId="0" applyNumberFormat="1" applyFont="1" applyFill="1" applyBorder="1" applyAlignment="1">
      <alignment horizontal="left" vertical="center" wrapText="1"/>
    </xf>
    <xf numFmtId="0" fontId="25" fillId="0" borderId="2" xfId="0" applyNumberFormat="1" applyFont="1" applyFill="1" applyBorder="1" applyAlignment="1">
      <alignment horizontal="left" vertical="center" wrapText="1"/>
    </xf>
    <xf numFmtId="0" fontId="11" fillId="0" borderId="3" xfId="0" applyNumberFormat="1" applyFont="1" applyFill="1" applyBorder="1" applyAlignment="1">
      <alignment horizontal="left" vertical="center"/>
    </xf>
    <xf numFmtId="0" fontId="20" fillId="0" borderId="3" xfId="0" applyNumberFormat="1" applyFont="1" applyFill="1" applyBorder="1" applyAlignment="1">
      <alignment horizontal="left" vertical="center" wrapText="1"/>
    </xf>
    <xf numFmtId="0" fontId="25" fillId="0" borderId="3" xfId="0" applyNumberFormat="1" applyFont="1" applyFill="1" applyBorder="1" applyAlignment="1">
      <alignment horizontal="left" vertical="center" wrapText="1"/>
    </xf>
    <xf numFmtId="0" fontId="11" fillId="0" borderId="2" xfId="0" applyNumberFormat="1" applyFont="1" applyFill="1" applyBorder="1" applyAlignment="1">
      <alignment horizontal="left" vertical="center"/>
    </xf>
    <xf numFmtId="0" fontId="0" fillId="0" borderId="2" xfId="0" applyNumberFormat="1" applyFill="1" applyBorder="1">
      <alignment vertical="center"/>
    </xf>
    <xf numFmtId="0" fontId="13" fillId="0" borderId="2" xfId="0" applyNumberFormat="1" applyFont="1" applyFill="1" applyBorder="1" applyAlignment="1">
      <alignment horizontal="left" vertical="center" wrapText="1"/>
    </xf>
    <xf numFmtId="0" fontId="10" fillId="0" borderId="2" xfId="0" applyNumberFormat="1" applyFont="1" applyFill="1" applyBorder="1" applyAlignment="1">
      <alignment horizontal="left" vertical="center" wrapText="1"/>
    </xf>
    <xf numFmtId="0" fontId="0" fillId="0" borderId="3" xfId="0" applyNumberFormat="1" applyFill="1" applyBorder="1">
      <alignment vertical="center"/>
    </xf>
    <xf numFmtId="0" fontId="20" fillId="0" borderId="2" xfId="0" applyNumberFormat="1" applyFont="1" applyFill="1" applyBorder="1" applyAlignment="1">
      <alignment horizontal="left" vertical="center"/>
    </xf>
    <xf numFmtId="0" fontId="10" fillId="0" borderId="3" xfId="0" applyNumberFormat="1" applyFont="1" applyFill="1" applyBorder="1" applyAlignment="1">
      <alignment horizontal="left" vertical="center"/>
    </xf>
    <xf numFmtId="0" fontId="4" fillId="0" borderId="48" xfId="0" applyNumberFormat="1" applyFont="1" applyFill="1" applyBorder="1" applyAlignment="1">
      <alignment horizontal="left" vertical="center" wrapText="1"/>
    </xf>
    <xf numFmtId="0" fontId="15" fillId="0" borderId="9" xfId="0" applyNumberFormat="1" applyFont="1" applyFill="1" applyBorder="1" applyAlignment="1">
      <alignment horizontal="left" vertical="center"/>
    </xf>
    <xf numFmtId="0" fontId="15" fillId="0" borderId="8" xfId="0" applyNumberFormat="1" applyFont="1" applyFill="1" applyBorder="1" applyAlignment="1">
      <alignment horizontal="left" vertical="center"/>
    </xf>
    <xf numFmtId="0" fontId="15" fillId="0" borderId="7" xfId="0" applyNumberFormat="1" applyFont="1" applyFill="1" applyBorder="1" applyAlignment="1">
      <alignment horizontal="left" vertical="center" wrapText="1"/>
    </xf>
    <xf numFmtId="0" fontId="0" fillId="0" borderId="28" xfId="0" applyFill="1" applyBorder="1">
      <alignment vertical="center"/>
    </xf>
    <xf numFmtId="0" fontId="9" fillId="0" borderId="4" xfId="0" applyNumberFormat="1" applyFont="1" applyFill="1" applyBorder="1" applyAlignment="1">
      <alignment horizontal="left" vertical="center" wrapText="1"/>
    </xf>
    <xf numFmtId="0" fontId="4" fillId="0" borderId="38" xfId="0" applyFont="1" applyFill="1" applyBorder="1" applyAlignment="1">
      <alignment horizontal="left" vertical="center"/>
    </xf>
    <xf numFmtId="0" fontId="4" fillId="0" borderId="28" xfId="0" applyNumberFormat="1" applyFont="1" applyFill="1" applyBorder="1" applyAlignment="1">
      <alignment horizontal="left" vertical="center"/>
    </xf>
    <xf numFmtId="0" fontId="4" fillId="0" borderId="28" xfId="0" applyNumberFormat="1" applyFont="1" applyFill="1" applyBorder="1" applyAlignment="1">
      <alignment horizontal="left" vertical="center" wrapText="1"/>
    </xf>
    <xf numFmtId="0" fontId="15" fillId="0" borderId="28" xfId="0" applyNumberFormat="1" applyFont="1" applyFill="1" applyBorder="1" applyAlignment="1">
      <alignment horizontal="left" vertical="center" wrapText="1"/>
    </xf>
    <xf numFmtId="0" fontId="4" fillId="0" borderId="38" xfId="0" applyFont="1" applyFill="1" applyBorder="1" applyAlignment="1">
      <alignment horizontal="center" vertical="center"/>
    </xf>
    <xf numFmtId="0" fontId="4" fillId="0" borderId="23" xfId="0" applyFont="1" applyFill="1" applyBorder="1" applyAlignment="1">
      <alignment horizontal="left" vertical="center"/>
    </xf>
    <xf numFmtId="0" fontId="4" fillId="0" borderId="11" xfId="0" applyNumberFormat="1" applyFont="1" applyFill="1" applyBorder="1" applyAlignment="1">
      <alignment horizontal="left" vertical="center"/>
    </xf>
    <xf numFmtId="0" fontId="4" fillId="0" borderId="11" xfId="0" applyNumberFormat="1" applyFont="1" applyFill="1" applyBorder="1" applyAlignment="1">
      <alignment horizontal="left" vertical="center" wrapText="1"/>
    </xf>
    <xf numFmtId="0" fontId="15" fillId="0" borderId="11" xfId="0" applyNumberFormat="1" applyFont="1" applyFill="1" applyBorder="1" applyAlignment="1">
      <alignment horizontal="left" vertical="center" wrapText="1"/>
    </xf>
    <xf numFmtId="0" fontId="4" fillId="0" borderId="23" xfId="0" applyFont="1" applyFill="1" applyBorder="1" applyAlignment="1">
      <alignment horizontal="center" vertical="center"/>
    </xf>
    <xf numFmtId="0" fontId="10" fillId="0" borderId="2" xfId="0" applyNumberFormat="1" applyFont="1" applyFill="1" applyBorder="1" applyAlignment="1">
      <alignment horizontal="left" vertical="center"/>
    </xf>
    <xf numFmtId="0" fontId="26" fillId="0" borderId="0" xfId="0" applyFont="1" applyFill="1" applyBorder="1">
      <alignment vertical="center"/>
    </xf>
    <xf numFmtId="0" fontId="2" fillId="0" borderId="0" xfId="0" applyFont="1" applyFill="1">
      <alignment vertical="center"/>
    </xf>
    <xf numFmtId="0" fontId="4" fillId="0" borderId="0" xfId="0" applyFont="1" applyFill="1" applyBorder="1">
      <alignment vertical="center"/>
    </xf>
    <xf numFmtId="0" fontId="4" fillId="0" borderId="9" xfId="0" applyFont="1" applyFill="1" applyBorder="1">
      <alignment vertical="center"/>
    </xf>
    <xf numFmtId="0" fontId="15" fillId="0" borderId="7" xfId="0" applyFont="1" applyFill="1" applyBorder="1" applyAlignment="1">
      <alignment horizontal="center" vertical="center"/>
    </xf>
    <xf numFmtId="0" fontId="10" fillId="0" borderId="3" xfId="0" applyFont="1" applyFill="1" applyBorder="1" applyAlignment="1">
      <alignment horizontal="center" vertical="center"/>
    </xf>
    <xf numFmtId="0" fontId="10" fillId="0" borderId="2" xfId="0" applyFont="1" applyFill="1" applyBorder="1" applyAlignment="1">
      <alignment horizontal="center" vertical="center"/>
    </xf>
    <xf numFmtId="0" fontId="10" fillId="0" borderId="2" xfId="0" applyNumberFormat="1" applyFont="1" applyFill="1" applyBorder="1" applyAlignment="1">
      <alignment horizontal="center" vertical="center"/>
    </xf>
    <xf numFmtId="0" fontId="4" fillId="0" borderId="7" xfId="0" applyNumberFormat="1" applyFont="1" applyFill="1" applyBorder="1" applyAlignment="1">
      <alignment horizontal="center" vertical="center" wrapText="1"/>
    </xf>
    <xf numFmtId="0" fontId="9" fillId="0" borderId="7" xfId="0" applyNumberFormat="1" applyFont="1" applyFill="1" applyBorder="1" applyAlignment="1">
      <alignment horizontal="center" vertical="center" wrapText="1"/>
    </xf>
    <xf numFmtId="0" fontId="4" fillId="0" borderId="7" xfId="0" applyNumberFormat="1" applyFont="1" applyFill="1" applyBorder="1" applyAlignment="1">
      <alignment horizontal="center" vertical="center"/>
    </xf>
    <xf numFmtId="0" fontId="15" fillId="0" borderId="7" xfId="0" applyNumberFormat="1" applyFont="1" applyFill="1" applyBorder="1" applyAlignment="1">
      <alignment horizontal="center" vertical="center"/>
    </xf>
    <xf numFmtId="0" fontId="4" fillId="0" borderId="9" xfId="0" applyNumberFormat="1" applyFont="1" applyFill="1" applyBorder="1" applyAlignment="1">
      <alignment horizontal="center" vertical="center" wrapText="1"/>
    </xf>
    <xf numFmtId="0" fontId="4" fillId="0" borderId="9" xfId="0" applyNumberFormat="1" applyFont="1" applyFill="1" applyBorder="1" applyAlignment="1">
      <alignment horizontal="center" vertical="center"/>
    </xf>
    <xf numFmtId="0" fontId="15" fillId="0" borderId="9" xfId="0" applyNumberFormat="1" applyFont="1" applyFill="1" applyBorder="1" applyAlignment="1">
      <alignment horizontal="center" vertical="center" wrapText="1"/>
    </xf>
    <xf numFmtId="0" fontId="13" fillId="0" borderId="2" xfId="0" applyNumberFormat="1" applyFont="1" applyFill="1" applyBorder="1" applyAlignment="1">
      <alignment horizontal="center" vertical="center" wrapText="1"/>
    </xf>
    <xf numFmtId="0" fontId="10" fillId="0" borderId="3" xfId="0" applyNumberFormat="1" applyFont="1" applyFill="1" applyBorder="1" applyAlignment="1">
      <alignment horizontal="center" vertical="center"/>
    </xf>
    <xf numFmtId="177" fontId="4" fillId="0" borderId="9" xfId="0" applyNumberFormat="1" applyFont="1" applyFill="1" applyBorder="1" applyAlignment="1">
      <alignment horizontal="center" vertical="center"/>
    </xf>
    <xf numFmtId="177" fontId="4" fillId="0" borderId="2" xfId="0" applyNumberFormat="1" applyFont="1" applyFill="1" applyBorder="1" applyAlignment="1">
      <alignment horizontal="center" vertical="center"/>
    </xf>
    <xf numFmtId="0" fontId="15" fillId="0" borderId="3" xfId="0" applyNumberFormat="1" applyFont="1" applyFill="1" applyBorder="1" applyAlignment="1">
      <alignment horizontal="center" vertical="center"/>
    </xf>
    <xf numFmtId="0" fontId="15" fillId="0" borderId="2" xfId="0" applyNumberFormat="1" applyFont="1" applyFill="1" applyBorder="1" applyAlignment="1">
      <alignment horizontal="center" vertical="center"/>
    </xf>
    <xf numFmtId="0" fontId="4" fillId="0" borderId="8" xfId="0" applyNumberFormat="1" applyFont="1" applyFill="1" applyBorder="1" applyAlignment="1">
      <alignment horizontal="center" vertical="center" wrapText="1"/>
    </xf>
    <xf numFmtId="0" fontId="4" fillId="0" borderId="8" xfId="0" applyNumberFormat="1" applyFont="1" applyFill="1" applyBorder="1" applyAlignment="1">
      <alignment horizontal="center" vertical="center"/>
    </xf>
    <xf numFmtId="0" fontId="15" fillId="0" borderId="8" xfId="0" applyNumberFormat="1" applyFont="1" applyFill="1" applyBorder="1" applyAlignment="1">
      <alignment horizontal="center" vertical="center" wrapText="1"/>
    </xf>
    <xf numFmtId="0" fontId="4" fillId="0" borderId="2" xfId="0" applyFont="1" applyFill="1" applyBorder="1">
      <alignment vertical="center"/>
    </xf>
    <xf numFmtId="0" fontId="10" fillId="0" borderId="3" xfId="0" applyNumberFormat="1" applyFont="1" applyFill="1" applyBorder="1" applyAlignment="1">
      <alignment horizontal="center" vertical="center" wrapText="1"/>
    </xf>
    <xf numFmtId="177" fontId="4" fillId="0" borderId="3" xfId="0" applyNumberFormat="1" applyFont="1" applyFill="1" applyBorder="1" applyAlignment="1">
      <alignment horizontal="center" vertical="center"/>
    </xf>
    <xf numFmtId="0" fontId="15" fillId="0" borderId="2" xfId="0" applyFont="1" applyFill="1" applyBorder="1" applyAlignment="1">
      <alignment horizontal="center" vertical="center"/>
    </xf>
    <xf numFmtId="0" fontId="0" fillId="0" borderId="40" xfId="0" applyFill="1" applyBorder="1" applyAlignment="1">
      <alignment vertical="center"/>
    </xf>
    <xf numFmtId="0" fontId="9" fillId="0" borderId="39" xfId="0" applyFont="1" applyFill="1" applyBorder="1" applyAlignment="1">
      <alignment horizontal="left" vertical="center"/>
    </xf>
    <xf numFmtId="0" fontId="4" fillId="0" borderId="39" xfId="0" applyFont="1" applyFill="1" applyBorder="1" applyAlignment="1">
      <alignment horizontal="center" vertical="center"/>
    </xf>
    <xf numFmtId="0" fontId="10" fillId="0" borderId="39" xfId="0" applyFont="1" applyFill="1" applyBorder="1" applyAlignment="1">
      <alignment horizontal="center" vertical="center"/>
    </xf>
    <xf numFmtId="0" fontId="15" fillId="0" borderId="39" xfId="0" applyFont="1" applyFill="1" applyBorder="1" applyAlignment="1">
      <alignment horizontal="center" vertical="center"/>
    </xf>
    <xf numFmtId="0" fontId="9" fillId="0" borderId="49" xfId="0" applyNumberFormat="1" applyFont="1" applyFill="1" applyBorder="1" applyAlignment="1">
      <alignment horizontal="left" vertical="center" wrapText="1"/>
    </xf>
    <xf numFmtId="0" fontId="4" fillId="0" borderId="49" xfId="0" applyNumberFormat="1" applyFont="1" applyFill="1" applyBorder="1" applyAlignment="1">
      <alignment horizontal="center" vertical="center" wrapText="1"/>
    </xf>
    <xf numFmtId="0" fontId="4" fillId="0" borderId="49" xfId="0" applyNumberFormat="1" applyFont="1" applyFill="1" applyBorder="1" applyAlignment="1">
      <alignment horizontal="center" vertical="center"/>
    </xf>
    <xf numFmtId="0" fontId="15" fillId="0" borderId="49" xfId="0" applyNumberFormat="1" applyFont="1" applyFill="1" applyBorder="1" applyAlignment="1">
      <alignment horizontal="center" vertical="center" wrapText="1"/>
    </xf>
    <xf numFmtId="0" fontId="4" fillId="0" borderId="49" xfId="0" applyFont="1" applyFill="1" applyBorder="1" applyAlignment="1">
      <alignment horizontal="center" vertical="center"/>
    </xf>
    <xf numFmtId="0" fontId="9" fillId="0" borderId="49" xfId="0" applyFont="1" applyFill="1" applyBorder="1" applyAlignment="1">
      <alignment horizontal="left" vertical="center"/>
    </xf>
    <xf numFmtId="0" fontId="15" fillId="0" borderId="49" xfId="0" applyFont="1" applyFill="1" applyBorder="1" applyAlignment="1">
      <alignment horizontal="center" vertical="center"/>
    </xf>
    <xf numFmtId="0" fontId="10" fillId="0" borderId="49" xfId="0" applyFont="1" applyFill="1" applyBorder="1" applyAlignment="1">
      <alignment horizontal="center" vertical="center"/>
    </xf>
    <xf numFmtId="0" fontId="0" fillId="0" borderId="23" xfId="0" applyFill="1" applyBorder="1" applyAlignment="1">
      <alignment vertical="center"/>
    </xf>
    <xf numFmtId="0" fontId="9" fillId="0" borderId="41" xfId="0" applyFont="1" applyFill="1" applyBorder="1" applyAlignment="1">
      <alignment horizontal="left" vertical="center"/>
    </xf>
    <xf numFmtId="0" fontId="4" fillId="0" borderId="41" xfId="0" applyFont="1" applyFill="1" applyBorder="1" applyAlignment="1">
      <alignment horizontal="center" vertical="center"/>
    </xf>
    <xf numFmtId="0" fontId="10" fillId="0" borderId="41" xfId="0" applyFont="1" applyFill="1" applyBorder="1" applyAlignment="1">
      <alignment horizontal="center" vertical="center"/>
    </xf>
    <xf numFmtId="0" fontId="15" fillId="0" borderId="41" xfId="0" applyFont="1" applyFill="1" applyBorder="1" applyAlignment="1">
      <alignment horizontal="center" vertical="center"/>
    </xf>
    <xf numFmtId="58" fontId="4" fillId="0" borderId="2" xfId="0" applyNumberFormat="1" applyFont="1" applyFill="1" applyBorder="1" applyAlignment="1">
      <alignment horizontal="center" vertical="center"/>
    </xf>
    <xf numFmtId="0" fontId="4" fillId="0" borderId="3" xfId="0" applyFont="1" applyFill="1" applyBorder="1">
      <alignment vertical="center"/>
    </xf>
    <xf numFmtId="0" fontId="4" fillId="0" borderId="2" xfId="0" applyNumberFormat="1" applyFont="1" applyFill="1" applyBorder="1" applyAlignment="1" quotePrefix="1">
      <alignment horizontal="left" vertical="center" wrapText="1"/>
    </xf>
    <xf numFmtId="0" fontId="4" fillId="0" borderId="3" xfId="0" applyNumberFormat="1" applyFont="1" applyFill="1" applyBorder="1" applyAlignment="1" quotePrefix="1">
      <alignment horizontal="left" vertical="center" wrapText="1"/>
    </xf>
    <xf numFmtId="0" fontId="4" fillId="0" borderId="3" xfId="0" applyFont="1" applyFill="1" applyBorder="1" applyAlignment="1" quotePrefix="1">
      <alignment horizontal="left" vertical="center"/>
    </xf>
    <xf numFmtId="0" fontId="4" fillId="0" borderId="2" xfId="0" applyFont="1" applyFill="1" applyBorder="1" applyAlignment="1" quotePrefix="1">
      <alignment horizontal="left" vertical="center"/>
    </xf>
  </cellXfs>
  <cellStyles count="51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2 2" xfId="49"/>
    <cellStyle name="常规 3" xfId="50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colors>
    <mruColors>
      <color rgb="0000B0F0"/>
      <color rgb="00F7FD9D"/>
      <color rgb="00FFC000"/>
      <color rgb="0092D050"/>
      <color rgb="00FF0000"/>
      <color rgb="00FFFFFF"/>
      <color rgb="00FFFF00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1" Type="http://schemas.openxmlformats.org/officeDocument/2006/relationships/image" Target="media/image641.png"/></Relationships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20" Type="http://www.wps.cn/officeDocument/2020/cellImage" Target="cellimages.xml"/><Relationship Id="rId2" Type="http://schemas.openxmlformats.org/officeDocument/2006/relationships/worksheet" Target="worksheets/sheet2.xml"/><Relationship Id="rId19" Type="http://schemas.openxmlformats.org/officeDocument/2006/relationships/sharedStrings" Target="sharedStrings.xml"/><Relationship Id="rId18" Type="http://schemas.openxmlformats.org/officeDocument/2006/relationships/theme" Target="theme/theme1.xml"/><Relationship Id="rId17" Type="http://schemas.openxmlformats.org/officeDocument/2006/relationships/worksheet" Target="worksheets/sheet17.xml"/><Relationship Id="rId16" Type="http://schemas.openxmlformats.org/officeDocument/2006/relationships/worksheet" Target="worksheets/sheet16.xml"/><Relationship Id="rId15" Type="http://schemas.openxmlformats.org/officeDocument/2006/relationships/worksheet" Target="worksheets/sheet15.xml"/><Relationship Id="rId14" Type="http://schemas.openxmlformats.org/officeDocument/2006/relationships/worksheet" Target="worksheets/sheet14.xml"/><Relationship Id="rId13" Type="http://schemas.openxmlformats.org/officeDocument/2006/relationships/worksheet" Target="worksheets/sheet13.xml"/><Relationship Id="rId12" Type="http://schemas.openxmlformats.org/officeDocument/2006/relationships/worksheet" Target="worksheets/sheet12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9.jpeg"/><Relationship Id="rId84" Type="http://schemas.openxmlformats.org/officeDocument/2006/relationships/image" Target="../media/image84.jpeg"/><Relationship Id="rId83" Type="http://schemas.openxmlformats.org/officeDocument/2006/relationships/image" Target="../media/image83.jpeg"/><Relationship Id="rId82" Type="http://schemas.openxmlformats.org/officeDocument/2006/relationships/image" Target="../media/image82.jpeg"/><Relationship Id="rId81" Type="http://schemas.openxmlformats.org/officeDocument/2006/relationships/image" Target="../media/image81.jpeg"/><Relationship Id="rId80" Type="http://schemas.openxmlformats.org/officeDocument/2006/relationships/image" Target="../media/image80.jpeg"/><Relationship Id="rId8" Type="http://schemas.openxmlformats.org/officeDocument/2006/relationships/image" Target="../media/image8.jpeg"/><Relationship Id="rId79" Type="http://schemas.openxmlformats.org/officeDocument/2006/relationships/image" Target="../media/image79.jpeg"/><Relationship Id="rId78" Type="http://schemas.openxmlformats.org/officeDocument/2006/relationships/image" Target="../media/image78.jpeg"/><Relationship Id="rId77" Type="http://schemas.openxmlformats.org/officeDocument/2006/relationships/image" Target="../media/image77.jpeg"/><Relationship Id="rId76" Type="http://schemas.openxmlformats.org/officeDocument/2006/relationships/image" Target="../media/image76.jpeg"/><Relationship Id="rId75" Type="http://schemas.openxmlformats.org/officeDocument/2006/relationships/image" Target="../media/image75.jpeg"/><Relationship Id="rId74" Type="http://schemas.openxmlformats.org/officeDocument/2006/relationships/image" Target="../media/image74.jpeg"/><Relationship Id="rId73" Type="http://schemas.openxmlformats.org/officeDocument/2006/relationships/image" Target="../media/image73.jpeg"/><Relationship Id="rId72" Type="http://schemas.openxmlformats.org/officeDocument/2006/relationships/image" Target="../media/image72.jpeg"/><Relationship Id="rId71" Type="http://schemas.openxmlformats.org/officeDocument/2006/relationships/image" Target="../media/image71.jpeg"/><Relationship Id="rId70" Type="http://schemas.openxmlformats.org/officeDocument/2006/relationships/image" Target="../media/image70.jpeg"/><Relationship Id="rId7" Type="http://schemas.openxmlformats.org/officeDocument/2006/relationships/image" Target="../media/image7.jpeg"/><Relationship Id="rId69" Type="http://schemas.openxmlformats.org/officeDocument/2006/relationships/image" Target="../media/image69.jpeg"/><Relationship Id="rId68" Type="http://schemas.openxmlformats.org/officeDocument/2006/relationships/image" Target="../media/image68.jpeg"/><Relationship Id="rId67" Type="http://schemas.openxmlformats.org/officeDocument/2006/relationships/image" Target="../media/image67.jpeg"/><Relationship Id="rId66" Type="http://schemas.openxmlformats.org/officeDocument/2006/relationships/image" Target="../media/image66.jpeg"/><Relationship Id="rId65" Type="http://schemas.openxmlformats.org/officeDocument/2006/relationships/image" Target="../media/image65.jpeg"/><Relationship Id="rId64" Type="http://schemas.openxmlformats.org/officeDocument/2006/relationships/image" Target="../media/image64.jpeg"/><Relationship Id="rId63" Type="http://schemas.openxmlformats.org/officeDocument/2006/relationships/image" Target="../media/image63.jpeg"/><Relationship Id="rId62" Type="http://schemas.openxmlformats.org/officeDocument/2006/relationships/image" Target="../media/image62.jpeg"/><Relationship Id="rId61" Type="http://schemas.openxmlformats.org/officeDocument/2006/relationships/image" Target="../media/image61.jpeg"/><Relationship Id="rId60" Type="http://schemas.openxmlformats.org/officeDocument/2006/relationships/image" Target="../media/image60.jpeg"/><Relationship Id="rId6" Type="http://schemas.openxmlformats.org/officeDocument/2006/relationships/image" Target="../media/image6.jpeg"/><Relationship Id="rId59" Type="http://schemas.openxmlformats.org/officeDocument/2006/relationships/image" Target="../media/image59.jpeg"/><Relationship Id="rId58" Type="http://schemas.openxmlformats.org/officeDocument/2006/relationships/image" Target="../media/image58.jpeg"/><Relationship Id="rId57" Type="http://schemas.openxmlformats.org/officeDocument/2006/relationships/image" Target="../media/image57.jpeg"/><Relationship Id="rId56" Type="http://schemas.openxmlformats.org/officeDocument/2006/relationships/image" Target="../media/image56.jpeg"/><Relationship Id="rId55" Type="http://schemas.openxmlformats.org/officeDocument/2006/relationships/image" Target="../media/image55.jpeg"/><Relationship Id="rId54" Type="http://schemas.openxmlformats.org/officeDocument/2006/relationships/image" Target="../media/image54.jpeg"/><Relationship Id="rId53" Type="http://schemas.openxmlformats.org/officeDocument/2006/relationships/image" Target="../media/image53.jpeg"/><Relationship Id="rId52" Type="http://schemas.openxmlformats.org/officeDocument/2006/relationships/image" Target="../media/image52.jpeg"/><Relationship Id="rId51" Type="http://schemas.openxmlformats.org/officeDocument/2006/relationships/image" Target="../media/image51.jpeg"/><Relationship Id="rId50" Type="http://schemas.openxmlformats.org/officeDocument/2006/relationships/image" Target="../media/image50.jpeg"/><Relationship Id="rId5" Type="http://schemas.openxmlformats.org/officeDocument/2006/relationships/image" Target="../media/image5.jpeg"/><Relationship Id="rId49" Type="http://schemas.openxmlformats.org/officeDocument/2006/relationships/image" Target="../media/image49.jpeg"/><Relationship Id="rId48" Type="http://schemas.openxmlformats.org/officeDocument/2006/relationships/image" Target="../media/image48.jpeg"/><Relationship Id="rId47" Type="http://schemas.openxmlformats.org/officeDocument/2006/relationships/image" Target="../media/image47.jpeg"/><Relationship Id="rId46" Type="http://schemas.openxmlformats.org/officeDocument/2006/relationships/image" Target="../media/image46.jpeg"/><Relationship Id="rId45" Type="http://schemas.openxmlformats.org/officeDocument/2006/relationships/image" Target="../media/image45.jpeg"/><Relationship Id="rId44" Type="http://schemas.openxmlformats.org/officeDocument/2006/relationships/image" Target="../media/image44.jpeg"/><Relationship Id="rId43" Type="http://schemas.openxmlformats.org/officeDocument/2006/relationships/image" Target="../media/image43.jpeg"/><Relationship Id="rId42" Type="http://schemas.openxmlformats.org/officeDocument/2006/relationships/image" Target="../media/image42.jpeg"/><Relationship Id="rId41" Type="http://schemas.openxmlformats.org/officeDocument/2006/relationships/image" Target="../media/image41.jpeg"/><Relationship Id="rId40" Type="http://schemas.openxmlformats.org/officeDocument/2006/relationships/image" Target="../media/image40.jpeg"/><Relationship Id="rId4" Type="http://schemas.openxmlformats.org/officeDocument/2006/relationships/image" Target="../media/image4.jpeg"/><Relationship Id="rId39" Type="http://schemas.openxmlformats.org/officeDocument/2006/relationships/image" Target="../media/image39.jpeg"/><Relationship Id="rId38" Type="http://schemas.openxmlformats.org/officeDocument/2006/relationships/image" Target="../media/image38.jpeg"/><Relationship Id="rId37" Type="http://schemas.openxmlformats.org/officeDocument/2006/relationships/image" Target="../media/image37.jpeg"/><Relationship Id="rId36" Type="http://schemas.openxmlformats.org/officeDocument/2006/relationships/image" Target="../media/image36.jpeg"/><Relationship Id="rId35" Type="http://schemas.openxmlformats.org/officeDocument/2006/relationships/image" Target="../media/image35.jpeg"/><Relationship Id="rId34" Type="http://schemas.openxmlformats.org/officeDocument/2006/relationships/image" Target="../media/image34.jpeg"/><Relationship Id="rId33" Type="http://schemas.openxmlformats.org/officeDocument/2006/relationships/image" Target="../media/image33.jpeg"/><Relationship Id="rId32" Type="http://schemas.openxmlformats.org/officeDocument/2006/relationships/image" Target="../media/image32.jpeg"/><Relationship Id="rId31" Type="http://schemas.openxmlformats.org/officeDocument/2006/relationships/image" Target="../media/image31.jpeg"/><Relationship Id="rId30" Type="http://schemas.openxmlformats.org/officeDocument/2006/relationships/image" Target="../media/image30.jpeg"/><Relationship Id="rId3" Type="http://schemas.openxmlformats.org/officeDocument/2006/relationships/image" Target="../media/image3.jpeg"/><Relationship Id="rId29" Type="http://schemas.openxmlformats.org/officeDocument/2006/relationships/image" Target="../media/image29.jpeg"/><Relationship Id="rId28" Type="http://schemas.openxmlformats.org/officeDocument/2006/relationships/image" Target="../media/image28.jpeg"/><Relationship Id="rId27" Type="http://schemas.openxmlformats.org/officeDocument/2006/relationships/image" Target="../media/image27.jpeg"/><Relationship Id="rId26" Type="http://schemas.openxmlformats.org/officeDocument/2006/relationships/image" Target="../media/image26.jpeg"/><Relationship Id="rId25" Type="http://schemas.openxmlformats.org/officeDocument/2006/relationships/image" Target="../media/image25.jpeg"/><Relationship Id="rId24" Type="http://schemas.openxmlformats.org/officeDocument/2006/relationships/image" Target="../media/image24.jpeg"/><Relationship Id="rId23" Type="http://schemas.openxmlformats.org/officeDocument/2006/relationships/image" Target="../media/image23.jpeg"/><Relationship Id="rId22" Type="http://schemas.openxmlformats.org/officeDocument/2006/relationships/image" Target="../media/image22.jpeg"/><Relationship Id="rId21" Type="http://schemas.openxmlformats.org/officeDocument/2006/relationships/image" Target="../media/image21.jpeg"/><Relationship Id="rId20" Type="http://schemas.openxmlformats.org/officeDocument/2006/relationships/image" Target="../media/image20.jpeg"/><Relationship Id="rId2" Type="http://schemas.openxmlformats.org/officeDocument/2006/relationships/image" Target="../media/image2.jpeg"/><Relationship Id="rId19" Type="http://schemas.openxmlformats.org/officeDocument/2006/relationships/image" Target="../media/image19.jpeg"/><Relationship Id="rId18" Type="http://schemas.openxmlformats.org/officeDocument/2006/relationships/image" Target="../media/image18.jpeg"/><Relationship Id="rId17" Type="http://schemas.openxmlformats.org/officeDocument/2006/relationships/image" Target="../media/image17.jpeg"/><Relationship Id="rId16" Type="http://schemas.openxmlformats.org/officeDocument/2006/relationships/image" Target="../media/image16.jpeg"/><Relationship Id="rId15" Type="http://schemas.openxmlformats.org/officeDocument/2006/relationships/image" Target="../media/image15.jpeg"/><Relationship Id="rId14" Type="http://schemas.openxmlformats.org/officeDocument/2006/relationships/image" Target="../media/image14.jpeg"/><Relationship Id="rId13" Type="http://schemas.openxmlformats.org/officeDocument/2006/relationships/image" Target="../media/image13.jpeg"/><Relationship Id="rId12" Type="http://schemas.openxmlformats.org/officeDocument/2006/relationships/image" Target="../media/image12.jpeg"/><Relationship Id="rId11" Type="http://schemas.openxmlformats.org/officeDocument/2006/relationships/image" Target="../media/image11.jpeg"/><Relationship Id="rId10" Type="http://schemas.openxmlformats.org/officeDocument/2006/relationships/image" Target="../media/image10.jpe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9" Type="http://schemas.openxmlformats.org/officeDocument/2006/relationships/image" Target="../media/image93.jpeg"/><Relationship Id="rId87" Type="http://schemas.openxmlformats.org/officeDocument/2006/relationships/image" Target="../media/image171.jpeg"/><Relationship Id="rId86" Type="http://schemas.openxmlformats.org/officeDocument/2006/relationships/image" Target="../media/image170.jpeg"/><Relationship Id="rId85" Type="http://schemas.openxmlformats.org/officeDocument/2006/relationships/image" Target="../media/image169.jpeg"/><Relationship Id="rId84" Type="http://schemas.openxmlformats.org/officeDocument/2006/relationships/image" Target="../media/image168.jpeg"/><Relationship Id="rId83" Type="http://schemas.openxmlformats.org/officeDocument/2006/relationships/image" Target="../media/image167.jpeg"/><Relationship Id="rId82" Type="http://schemas.openxmlformats.org/officeDocument/2006/relationships/image" Target="../media/image166.jpeg"/><Relationship Id="rId81" Type="http://schemas.openxmlformats.org/officeDocument/2006/relationships/image" Target="../media/image165.jpeg"/><Relationship Id="rId80" Type="http://schemas.openxmlformats.org/officeDocument/2006/relationships/image" Target="../media/image164.jpeg"/><Relationship Id="rId8" Type="http://schemas.openxmlformats.org/officeDocument/2006/relationships/image" Target="../media/image92.jpeg"/><Relationship Id="rId79" Type="http://schemas.openxmlformats.org/officeDocument/2006/relationships/image" Target="../media/image163.jpeg"/><Relationship Id="rId78" Type="http://schemas.openxmlformats.org/officeDocument/2006/relationships/image" Target="../media/image162.jpeg"/><Relationship Id="rId77" Type="http://schemas.openxmlformats.org/officeDocument/2006/relationships/image" Target="../media/image161.jpeg"/><Relationship Id="rId76" Type="http://schemas.openxmlformats.org/officeDocument/2006/relationships/image" Target="../media/image160.jpeg"/><Relationship Id="rId75" Type="http://schemas.openxmlformats.org/officeDocument/2006/relationships/image" Target="../media/image159.jpeg"/><Relationship Id="rId74" Type="http://schemas.openxmlformats.org/officeDocument/2006/relationships/image" Target="../media/image158.jpeg"/><Relationship Id="rId73" Type="http://schemas.openxmlformats.org/officeDocument/2006/relationships/image" Target="../media/image157.jpeg"/><Relationship Id="rId72" Type="http://schemas.openxmlformats.org/officeDocument/2006/relationships/image" Target="../media/image156.jpeg"/><Relationship Id="rId71" Type="http://schemas.openxmlformats.org/officeDocument/2006/relationships/image" Target="../media/image155.jpeg"/><Relationship Id="rId70" Type="http://schemas.openxmlformats.org/officeDocument/2006/relationships/image" Target="../media/image154.jpeg"/><Relationship Id="rId7" Type="http://schemas.openxmlformats.org/officeDocument/2006/relationships/image" Target="../media/image91.jpeg"/><Relationship Id="rId69" Type="http://schemas.openxmlformats.org/officeDocument/2006/relationships/image" Target="../media/image153.jpeg"/><Relationship Id="rId68" Type="http://schemas.openxmlformats.org/officeDocument/2006/relationships/image" Target="../media/image152.jpeg"/><Relationship Id="rId67" Type="http://schemas.openxmlformats.org/officeDocument/2006/relationships/image" Target="../media/image151.jpeg"/><Relationship Id="rId66" Type="http://schemas.openxmlformats.org/officeDocument/2006/relationships/image" Target="../media/image150.jpeg"/><Relationship Id="rId65" Type="http://schemas.openxmlformats.org/officeDocument/2006/relationships/image" Target="../media/image149.jpeg"/><Relationship Id="rId64" Type="http://schemas.openxmlformats.org/officeDocument/2006/relationships/image" Target="../media/image148.jpeg"/><Relationship Id="rId63" Type="http://schemas.openxmlformats.org/officeDocument/2006/relationships/image" Target="../media/image147.jpeg"/><Relationship Id="rId62" Type="http://schemas.openxmlformats.org/officeDocument/2006/relationships/image" Target="../media/image146.jpeg"/><Relationship Id="rId61" Type="http://schemas.openxmlformats.org/officeDocument/2006/relationships/image" Target="../media/image145.jpeg"/><Relationship Id="rId60" Type="http://schemas.openxmlformats.org/officeDocument/2006/relationships/image" Target="../media/image144.jpeg"/><Relationship Id="rId6" Type="http://schemas.openxmlformats.org/officeDocument/2006/relationships/image" Target="../media/image90.jpeg"/><Relationship Id="rId59" Type="http://schemas.openxmlformats.org/officeDocument/2006/relationships/image" Target="../media/image143.jpeg"/><Relationship Id="rId58" Type="http://schemas.openxmlformats.org/officeDocument/2006/relationships/image" Target="../media/image142.jpeg"/><Relationship Id="rId57" Type="http://schemas.openxmlformats.org/officeDocument/2006/relationships/image" Target="../media/image141.jpeg"/><Relationship Id="rId56" Type="http://schemas.openxmlformats.org/officeDocument/2006/relationships/image" Target="../media/image140.jpeg"/><Relationship Id="rId55" Type="http://schemas.openxmlformats.org/officeDocument/2006/relationships/image" Target="../media/image139.jpeg"/><Relationship Id="rId54" Type="http://schemas.openxmlformats.org/officeDocument/2006/relationships/image" Target="../media/image138.jpeg"/><Relationship Id="rId53" Type="http://schemas.openxmlformats.org/officeDocument/2006/relationships/image" Target="../media/image137.jpeg"/><Relationship Id="rId52" Type="http://schemas.openxmlformats.org/officeDocument/2006/relationships/image" Target="../media/image136.jpeg"/><Relationship Id="rId51" Type="http://schemas.openxmlformats.org/officeDocument/2006/relationships/image" Target="../media/image135.jpeg"/><Relationship Id="rId50" Type="http://schemas.openxmlformats.org/officeDocument/2006/relationships/image" Target="../media/image134.jpeg"/><Relationship Id="rId5" Type="http://schemas.openxmlformats.org/officeDocument/2006/relationships/image" Target="../media/image89.jpeg"/><Relationship Id="rId49" Type="http://schemas.openxmlformats.org/officeDocument/2006/relationships/image" Target="../media/image133.jpeg"/><Relationship Id="rId48" Type="http://schemas.openxmlformats.org/officeDocument/2006/relationships/image" Target="../media/image132.jpeg"/><Relationship Id="rId47" Type="http://schemas.openxmlformats.org/officeDocument/2006/relationships/image" Target="../media/image131.jpeg"/><Relationship Id="rId46" Type="http://schemas.openxmlformats.org/officeDocument/2006/relationships/image" Target="../media/image130.jpeg"/><Relationship Id="rId45" Type="http://schemas.openxmlformats.org/officeDocument/2006/relationships/image" Target="../media/image129.jpeg"/><Relationship Id="rId44" Type="http://schemas.openxmlformats.org/officeDocument/2006/relationships/image" Target="../media/image128.jpeg"/><Relationship Id="rId43" Type="http://schemas.openxmlformats.org/officeDocument/2006/relationships/image" Target="../media/image127.jpeg"/><Relationship Id="rId42" Type="http://schemas.openxmlformats.org/officeDocument/2006/relationships/image" Target="../media/image126.jpeg"/><Relationship Id="rId41" Type="http://schemas.openxmlformats.org/officeDocument/2006/relationships/image" Target="../media/image125.jpeg"/><Relationship Id="rId40" Type="http://schemas.openxmlformats.org/officeDocument/2006/relationships/image" Target="../media/image124.jpeg"/><Relationship Id="rId4" Type="http://schemas.openxmlformats.org/officeDocument/2006/relationships/image" Target="../media/image88.jpeg"/><Relationship Id="rId39" Type="http://schemas.openxmlformats.org/officeDocument/2006/relationships/image" Target="../media/image123.jpeg"/><Relationship Id="rId38" Type="http://schemas.openxmlformats.org/officeDocument/2006/relationships/image" Target="../media/image122.jpeg"/><Relationship Id="rId37" Type="http://schemas.openxmlformats.org/officeDocument/2006/relationships/image" Target="../media/image121.jpeg"/><Relationship Id="rId36" Type="http://schemas.openxmlformats.org/officeDocument/2006/relationships/image" Target="../media/image120.jpeg"/><Relationship Id="rId35" Type="http://schemas.openxmlformats.org/officeDocument/2006/relationships/image" Target="../media/image119.jpeg"/><Relationship Id="rId34" Type="http://schemas.openxmlformats.org/officeDocument/2006/relationships/image" Target="../media/image118.jpeg"/><Relationship Id="rId33" Type="http://schemas.openxmlformats.org/officeDocument/2006/relationships/image" Target="../media/image117.jpeg"/><Relationship Id="rId32" Type="http://schemas.openxmlformats.org/officeDocument/2006/relationships/image" Target="../media/image116.jpeg"/><Relationship Id="rId31" Type="http://schemas.openxmlformats.org/officeDocument/2006/relationships/image" Target="../media/image115.jpeg"/><Relationship Id="rId30" Type="http://schemas.openxmlformats.org/officeDocument/2006/relationships/image" Target="../media/image114.jpeg"/><Relationship Id="rId3" Type="http://schemas.openxmlformats.org/officeDocument/2006/relationships/image" Target="../media/image87.jpeg"/><Relationship Id="rId29" Type="http://schemas.openxmlformats.org/officeDocument/2006/relationships/image" Target="../media/image113.jpeg"/><Relationship Id="rId28" Type="http://schemas.openxmlformats.org/officeDocument/2006/relationships/image" Target="../media/image112.jpeg"/><Relationship Id="rId27" Type="http://schemas.openxmlformats.org/officeDocument/2006/relationships/image" Target="../media/image111.jpeg"/><Relationship Id="rId26" Type="http://schemas.openxmlformats.org/officeDocument/2006/relationships/image" Target="../media/image110.jpeg"/><Relationship Id="rId25" Type="http://schemas.openxmlformats.org/officeDocument/2006/relationships/image" Target="../media/image109.jpeg"/><Relationship Id="rId24" Type="http://schemas.openxmlformats.org/officeDocument/2006/relationships/image" Target="../media/image108.jpeg"/><Relationship Id="rId23" Type="http://schemas.openxmlformats.org/officeDocument/2006/relationships/image" Target="../media/image107.jpeg"/><Relationship Id="rId22" Type="http://schemas.openxmlformats.org/officeDocument/2006/relationships/image" Target="../media/image106.jpeg"/><Relationship Id="rId21" Type="http://schemas.openxmlformats.org/officeDocument/2006/relationships/image" Target="../media/image105.jpeg"/><Relationship Id="rId20" Type="http://schemas.openxmlformats.org/officeDocument/2006/relationships/image" Target="../media/image104.jpeg"/><Relationship Id="rId2" Type="http://schemas.openxmlformats.org/officeDocument/2006/relationships/image" Target="../media/image86.jpeg"/><Relationship Id="rId19" Type="http://schemas.openxmlformats.org/officeDocument/2006/relationships/image" Target="../media/image103.jpeg"/><Relationship Id="rId18" Type="http://schemas.openxmlformats.org/officeDocument/2006/relationships/image" Target="../media/image102.jpeg"/><Relationship Id="rId17" Type="http://schemas.openxmlformats.org/officeDocument/2006/relationships/image" Target="../media/image101.jpeg"/><Relationship Id="rId16" Type="http://schemas.openxmlformats.org/officeDocument/2006/relationships/image" Target="../media/image100.jpeg"/><Relationship Id="rId15" Type="http://schemas.openxmlformats.org/officeDocument/2006/relationships/image" Target="../media/image99.jpeg"/><Relationship Id="rId14" Type="http://schemas.openxmlformats.org/officeDocument/2006/relationships/image" Target="../media/image98.jpeg"/><Relationship Id="rId13" Type="http://schemas.openxmlformats.org/officeDocument/2006/relationships/image" Target="../media/image97.jpeg"/><Relationship Id="rId12" Type="http://schemas.openxmlformats.org/officeDocument/2006/relationships/image" Target="../media/image96.jpeg"/><Relationship Id="rId11" Type="http://schemas.openxmlformats.org/officeDocument/2006/relationships/image" Target="../media/image95.jpeg"/><Relationship Id="rId10" Type="http://schemas.openxmlformats.org/officeDocument/2006/relationships/image" Target="../media/image94.jpeg"/><Relationship Id="rId1" Type="http://schemas.openxmlformats.org/officeDocument/2006/relationships/image" Target="../media/image85.jpeg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180.jpeg"/><Relationship Id="rId8" Type="http://schemas.openxmlformats.org/officeDocument/2006/relationships/image" Target="../media/image179.jpeg"/><Relationship Id="rId7" Type="http://schemas.openxmlformats.org/officeDocument/2006/relationships/image" Target="../media/image178.jpeg"/><Relationship Id="rId6" Type="http://schemas.openxmlformats.org/officeDocument/2006/relationships/image" Target="../media/image177.jpeg"/><Relationship Id="rId5" Type="http://schemas.openxmlformats.org/officeDocument/2006/relationships/image" Target="../media/image176.jpeg"/><Relationship Id="rId4" Type="http://schemas.openxmlformats.org/officeDocument/2006/relationships/image" Target="../media/image175.jpeg"/><Relationship Id="rId33" Type="http://schemas.openxmlformats.org/officeDocument/2006/relationships/image" Target="../media/image203.jpeg"/><Relationship Id="rId32" Type="http://schemas.openxmlformats.org/officeDocument/2006/relationships/image" Target="../media/image202.jpeg"/><Relationship Id="rId31" Type="http://schemas.openxmlformats.org/officeDocument/2006/relationships/image" Target="../media/image201.jpeg"/><Relationship Id="rId30" Type="http://schemas.openxmlformats.org/officeDocument/2006/relationships/image" Target="../media/image200.jpeg"/><Relationship Id="rId3" Type="http://schemas.openxmlformats.org/officeDocument/2006/relationships/image" Target="../media/image174.jpeg"/><Relationship Id="rId29" Type="http://schemas.openxmlformats.org/officeDocument/2006/relationships/image" Target="../media/image199.jpeg"/><Relationship Id="rId28" Type="http://schemas.openxmlformats.org/officeDocument/2006/relationships/image" Target="../media/image198.jpeg"/><Relationship Id="rId27" Type="http://schemas.openxmlformats.org/officeDocument/2006/relationships/image" Target="../media/image197.jpeg"/><Relationship Id="rId26" Type="http://schemas.openxmlformats.org/officeDocument/2006/relationships/image" Target="../media/image196.jpeg"/><Relationship Id="rId25" Type="http://schemas.openxmlformats.org/officeDocument/2006/relationships/image" Target="../media/image195.jpeg"/><Relationship Id="rId24" Type="http://schemas.openxmlformats.org/officeDocument/2006/relationships/image" Target="../media/image194.jpeg"/><Relationship Id="rId23" Type="http://schemas.openxmlformats.org/officeDocument/2006/relationships/image" Target="../media/image193.jpeg"/><Relationship Id="rId22" Type="http://schemas.openxmlformats.org/officeDocument/2006/relationships/image" Target="../media/image192.jpeg"/><Relationship Id="rId21" Type="http://schemas.openxmlformats.org/officeDocument/2006/relationships/image" Target="../media/image191.jpeg"/><Relationship Id="rId20" Type="http://schemas.openxmlformats.org/officeDocument/2006/relationships/image" Target="../media/image190.jpeg"/><Relationship Id="rId2" Type="http://schemas.openxmlformats.org/officeDocument/2006/relationships/image" Target="../media/image173.jpeg"/><Relationship Id="rId19" Type="http://schemas.openxmlformats.org/officeDocument/2006/relationships/image" Target="../media/image189.jpeg"/><Relationship Id="rId18" Type="http://schemas.openxmlformats.org/officeDocument/2006/relationships/image" Target="../media/image117.jpeg"/><Relationship Id="rId17" Type="http://schemas.openxmlformats.org/officeDocument/2006/relationships/image" Target="../media/image188.jpeg"/><Relationship Id="rId16" Type="http://schemas.openxmlformats.org/officeDocument/2006/relationships/image" Target="../media/image187.jpeg"/><Relationship Id="rId15" Type="http://schemas.openxmlformats.org/officeDocument/2006/relationships/image" Target="../media/image186.jpeg"/><Relationship Id="rId14" Type="http://schemas.openxmlformats.org/officeDocument/2006/relationships/image" Target="../media/image185.jpeg"/><Relationship Id="rId13" Type="http://schemas.openxmlformats.org/officeDocument/2006/relationships/image" Target="../media/image184.jpeg"/><Relationship Id="rId12" Type="http://schemas.openxmlformats.org/officeDocument/2006/relationships/image" Target="../media/image183.jpeg"/><Relationship Id="rId11" Type="http://schemas.openxmlformats.org/officeDocument/2006/relationships/image" Target="../media/image182.jpeg"/><Relationship Id="rId10" Type="http://schemas.openxmlformats.org/officeDocument/2006/relationships/image" Target="../media/image181.jpeg"/><Relationship Id="rId1" Type="http://schemas.openxmlformats.org/officeDocument/2006/relationships/image" Target="../media/image172.jpeg"/></Relationships>
</file>

<file path=xl/drawings/_rels/drawing4.xml.rels><?xml version="1.0" encoding="UTF-8" standalone="yes"?>
<Relationships xmlns="http://schemas.openxmlformats.org/package/2006/relationships"><Relationship Id="rId9" Type="http://schemas.openxmlformats.org/officeDocument/2006/relationships/image" Target="../media/image212.jpeg"/><Relationship Id="rId8" Type="http://schemas.openxmlformats.org/officeDocument/2006/relationships/image" Target="../media/image211.jpeg"/><Relationship Id="rId7" Type="http://schemas.openxmlformats.org/officeDocument/2006/relationships/image" Target="../media/image210.jpeg"/><Relationship Id="rId6" Type="http://schemas.openxmlformats.org/officeDocument/2006/relationships/image" Target="../media/image209.jpeg"/><Relationship Id="rId5" Type="http://schemas.openxmlformats.org/officeDocument/2006/relationships/image" Target="../media/image208.jpeg"/><Relationship Id="rId4" Type="http://schemas.openxmlformats.org/officeDocument/2006/relationships/image" Target="../media/image207.jpeg"/><Relationship Id="rId38" Type="http://schemas.openxmlformats.org/officeDocument/2006/relationships/image" Target="../media/image240.jpeg"/><Relationship Id="rId37" Type="http://schemas.openxmlformats.org/officeDocument/2006/relationships/image" Target="../media/image239.jpeg"/><Relationship Id="rId36" Type="http://schemas.openxmlformats.org/officeDocument/2006/relationships/image" Target="../media/image238.jpeg"/><Relationship Id="rId35" Type="http://schemas.openxmlformats.org/officeDocument/2006/relationships/image" Target="../media/image237.jpeg"/><Relationship Id="rId34" Type="http://schemas.openxmlformats.org/officeDocument/2006/relationships/image" Target="../media/image236.jpeg"/><Relationship Id="rId33" Type="http://schemas.openxmlformats.org/officeDocument/2006/relationships/image" Target="../media/image235.jpeg"/><Relationship Id="rId32" Type="http://schemas.openxmlformats.org/officeDocument/2006/relationships/image" Target="../media/image234.jpeg"/><Relationship Id="rId31" Type="http://schemas.openxmlformats.org/officeDocument/2006/relationships/image" Target="../media/image233.jpeg"/><Relationship Id="rId30" Type="http://schemas.openxmlformats.org/officeDocument/2006/relationships/image" Target="../media/image232.jpeg"/><Relationship Id="rId3" Type="http://schemas.openxmlformats.org/officeDocument/2006/relationships/image" Target="../media/image206.jpeg"/><Relationship Id="rId29" Type="http://schemas.openxmlformats.org/officeDocument/2006/relationships/image" Target="../media/image231.jpeg"/><Relationship Id="rId28" Type="http://schemas.openxmlformats.org/officeDocument/2006/relationships/image" Target="../media/image230.jpeg"/><Relationship Id="rId27" Type="http://schemas.openxmlformats.org/officeDocument/2006/relationships/image" Target="../media/image229.jpeg"/><Relationship Id="rId26" Type="http://schemas.openxmlformats.org/officeDocument/2006/relationships/image" Target="../media/image228.jpeg"/><Relationship Id="rId25" Type="http://schemas.openxmlformats.org/officeDocument/2006/relationships/image" Target="../media/image227.jpeg"/><Relationship Id="rId24" Type="http://schemas.openxmlformats.org/officeDocument/2006/relationships/image" Target="../media/image226.jpeg"/><Relationship Id="rId23" Type="http://schemas.openxmlformats.org/officeDocument/2006/relationships/image" Target="../media/image225.jpeg"/><Relationship Id="rId22" Type="http://schemas.openxmlformats.org/officeDocument/2006/relationships/image" Target="../media/image118.jpeg"/><Relationship Id="rId21" Type="http://schemas.openxmlformats.org/officeDocument/2006/relationships/image" Target="../media/image224.jpeg"/><Relationship Id="rId20" Type="http://schemas.openxmlformats.org/officeDocument/2006/relationships/image" Target="../media/image223.jpeg"/><Relationship Id="rId2" Type="http://schemas.openxmlformats.org/officeDocument/2006/relationships/image" Target="../media/image205.jpeg"/><Relationship Id="rId19" Type="http://schemas.openxmlformats.org/officeDocument/2006/relationships/image" Target="../media/image222.jpeg"/><Relationship Id="rId18" Type="http://schemas.openxmlformats.org/officeDocument/2006/relationships/image" Target="../media/image221.jpeg"/><Relationship Id="rId17" Type="http://schemas.openxmlformats.org/officeDocument/2006/relationships/image" Target="../media/image220.jpeg"/><Relationship Id="rId16" Type="http://schemas.openxmlformats.org/officeDocument/2006/relationships/image" Target="../media/image219.jpeg"/><Relationship Id="rId15" Type="http://schemas.openxmlformats.org/officeDocument/2006/relationships/image" Target="../media/image218.jpeg"/><Relationship Id="rId14" Type="http://schemas.openxmlformats.org/officeDocument/2006/relationships/image" Target="../media/image217.jpeg"/><Relationship Id="rId13" Type="http://schemas.openxmlformats.org/officeDocument/2006/relationships/image" Target="../media/image216.jpeg"/><Relationship Id="rId12" Type="http://schemas.openxmlformats.org/officeDocument/2006/relationships/image" Target="../media/image215.jpeg"/><Relationship Id="rId11" Type="http://schemas.openxmlformats.org/officeDocument/2006/relationships/image" Target="../media/image214.jpeg"/><Relationship Id="rId10" Type="http://schemas.openxmlformats.org/officeDocument/2006/relationships/image" Target="../media/image213.jpeg"/><Relationship Id="rId1" Type="http://schemas.openxmlformats.org/officeDocument/2006/relationships/image" Target="../media/image204.jpeg"/></Relationships>
</file>

<file path=xl/drawings/_rels/drawing5.xml.rels><?xml version="1.0" encoding="UTF-8" standalone="yes"?>
<Relationships xmlns="http://schemas.openxmlformats.org/package/2006/relationships"><Relationship Id="rId9" Type="http://schemas.openxmlformats.org/officeDocument/2006/relationships/image" Target="../media/image249.jpeg"/><Relationship Id="rId8" Type="http://schemas.openxmlformats.org/officeDocument/2006/relationships/image" Target="../media/image248.jpeg"/><Relationship Id="rId75" Type="http://schemas.openxmlformats.org/officeDocument/2006/relationships/image" Target="../media/image315.jpeg"/><Relationship Id="rId74" Type="http://schemas.openxmlformats.org/officeDocument/2006/relationships/image" Target="../media/image314.jpeg"/><Relationship Id="rId73" Type="http://schemas.openxmlformats.org/officeDocument/2006/relationships/image" Target="../media/image313.jpeg"/><Relationship Id="rId72" Type="http://schemas.openxmlformats.org/officeDocument/2006/relationships/image" Target="../media/image312.jpeg"/><Relationship Id="rId71" Type="http://schemas.openxmlformats.org/officeDocument/2006/relationships/image" Target="../media/image311.jpeg"/><Relationship Id="rId70" Type="http://schemas.openxmlformats.org/officeDocument/2006/relationships/image" Target="../media/image310.jpeg"/><Relationship Id="rId7" Type="http://schemas.openxmlformats.org/officeDocument/2006/relationships/image" Target="../media/image247.jpeg"/><Relationship Id="rId69" Type="http://schemas.openxmlformats.org/officeDocument/2006/relationships/image" Target="../media/image309.jpeg"/><Relationship Id="rId68" Type="http://schemas.openxmlformats.org/officeDocument/2006/relationships/image" Target="../media/image308.jpeg"/><Relationship Id="rId67" Type="http://schemas.openxmlformats.org/officeDocument/2006/relationships/image" Target="../media/image307.jpeg"/><Relationship Id="rId66" Type="http://schemas.openxmlformats.org/officeDocument/2006/relationships/image" Target="../media/image306.jpeg"/><Relationship Id="rId65" Type="http://schemas.openxmlformats.org/officeDocument/2006/relationships/image" Target="../media/image305.jpeg"/><Relationship Id="rId64" Type="http://schemas.openxmlformats.org/officeDocument/2006/relationships/image" Target="../media/image304.jpeg"/><Relationship Id="rId63" Type="http://schemas.openxmlformats.org/officeDocument/2006/relationships/image" Target="../media/image303.jpeg"/><Relationship Id="rId62" Type="http://schemas.openxmlformats.org/officeDocument/2006/relationships/image" Target="../media/image302.jpeg"/><Relationship Id="rId61" Type="http://schemas.openxmlformats.org/officeDocument/2006/relationships/image" Target="../media/image301.jpeg"/><Relationship Id="rId60" Type="http://schemas.openxmlformats.org/officeDocument/2006/relationships/image" Target="../media/image300.jpeg"/><Relationship Id="rId6" Type="http://schemas.openxmlformats.org/officeDocument/2006/relationships/image" Target="../media/image246.jpeg"/><Relationship Id="rId59" Type="http://schemas.openxmlformats.org/officeDocument/2006/relationships/image" Target="../media/image299.jpeg"/><Relationship Id="rId58" Type="http://schemas.openxmlformats.org/officeDocument/2006/relationships/image" Target="../media/image298.jpeg"/><Relationship Id="rId57" Type="http://schemas.openxmlformats.org/officeDocument/2006/relationships/image" Target="../media/image297.jpeg"/><Relationship Id="rId56" Type="http://schemas.openxmlformats.org/officeDocument/2006/relationships/image" Target="../media/image296.jpeg"/><Relationship Id="rId55" Type="http://schemas.openxmlformats.org/officeDocument/2006/relationships/image" Target="../media/image295.jpeg"/><Relationship Id="rId54" Type="http://schemas.openxmlformats.org/officeDocument/2006/relationships/image" Target="../media/image294.jpeg"/><Relationship Id="rId53" Type="http://schemas.openxmlformats.org/officeDocument/2006/relationships/image" Target="../media/image293.jpeg"/><Relationship Id="rId52" Type="http://schemas.openxmlformats.org/officeDocument/2006/relationships/image" Target="../media/image292.jpeg"/><Relationship Id="rId51" Type="http://schemas.openxmlformats.org/officeDocument/2006/relationships/image" Target="../media/image291.jpeg"/><Relationship Id="rId50" Type="http://schemas.openxmlformats.org/officeDocument/2006/relationships/image" Target="../media/image290.jpeg"/><Relationship Id="rId5" Type="http://schemas.openxmlformats.org/officeDocument/2006/relationships/image" Target="../media/image245.jpeg"/><Relationship Id="rId49" Type="http://schemas.openxmlformats.org/officeDocument/2006/relationships/image" Target="../media/image289.jpeg"/><Relationship Id="rId48" Type="http://schemas.openxmlformats.org/officeDocument/2006/relationships/image" Target="../media/image288.jpeg"/><Relationship Id="rId47" Type="http://schemas.openxmlformats.org/officeDocument/2006/relationships/image" Target="../media/image287.jpeg"/><Relationship Id="rId46" Type="http://schemas.openxmlformats.org/officeDocument/2006/relationships/image" Target="../media/image286.jpeg"/><Relationship Id="rId45" Type="http://schemas.openxmlformats.org/officeDocument/2006/relationships/image" Target="../media/image285.jpeg"/><Relationship Id="rId44" Type="http://schemas.openxmlformats.org/officeDocument/2006/relationships/image" Target="../media/image284.jpeg"/><Relationship Id="rId43" Type="http://schemas.openxmlformats.org/officeDocument/2006/relationships/image" Target="../media/image283.jpeg"/><Relationship Id="rId42" Type="http://schemas.openxmlformats.org/officeDocument/2006/relationships/image" Target="../media/image282.jpeg"/><Relationship Id="rId41" Type="http://schemas.openxmlformats.org/officeDocument/2006/relationships/image" Target="../media/image281.jpeg"/><Relationship Id="rId40" Type="http://schemas.openxmlformats.org/officeDocument/2006/relationships/image" Target="../media/image280.jpeg"/><Relationship Id="rId4" Type="http://schemas.openxmlformats.org/officeDocument/2006/relationships/image" Target="../media/image244.jpeg"/><Relationship Id="rId39" Type="http://schemas.openxmlformats.org/officeDocument/2006/relationships/image" Target="../media/image279.jpeg"/><Relationship Id="rId38" Type="http://schemas.openxmlformats.org/officeDocument/2006/relationships/image" Target="../media/image278.jpeg"/><Relationship Id="rId37" Type="http://schemas.openxmlformats.org/officeDocument/2006/relationships/image" Target="../media/image277.jpeg"/><Relationship Id="rId36" Type="http://schemas.openxmlformats.org/officeDocument/2006/relationships/image" Target="../media/image276.jpeg"/><Relationship Id="rId35" Type="http://schemas.openxmlformats.org/officeDocument/2006/relationships/image" Target="../media/image275.jpeg"/><Relationship Id="rId34" Type="http://schemas.openxmlformats.org/officeDocument/2006/relationships/image" Target="../media/image274.jpeg"/><Relationship Id="rId33" Type="http://schemas.openxmlformats.org/officeDocument/2006/relationships/image" Target="../media/image273.jpeg"/><Relationship Id="rId32" Type="http://schemas.openxmlformats.org/officeDocument/2006/relationships/image" Target="../media/image272.jpeg"/><Relationship Id="rId31" Type="http://schemas.openxmlformats.org/officeDocument/2006/relationships/image" Target="../media/image271.jpeg"/><Relationship Id="rId30" Type="http://schemas.openxmlformats.org/officeDocument/2006/relationships/image" Target="../media/image270.jpeg"/><Relationship Id="rId3" Type="http://schemas.openxmlformats.org/officeDocument/2006/relationships/image" Target="../media/image243.jpeg"/><Relationship Id="rId29" Type="http://schemas.openxmlformats.org/officeDocument/2006/relationships/image" Target="../media/image269.jpeg"/><Relationship Id="rId28" Type="http://schemas.openxmlformats.org/officeDocument/2006/relationships/image" Target="../media/image268.jpeg"/><Relationship Id="rId27" Type="http://schemas.openxmlformats.org/officeDocument/2006/relationships/image" Target="../media/image267.jpeg"/><Relationship Id="rId26" Type="http://schemas.openxmlformats.org/officeDocument/2006/relationships/image" Target="../media/image266.jpeg"/><Relationship Id="rId25" Type="http://schemas.openxmlformats.org/officeDocument/2006/relationships/image" Target="../media/image265.jpeg"/><Relationship Id="rId24" Type="http://schemas.openxmlformats.org/officeDocument/2006/relationships/image" Target="../media/image264.jpeg"/><Relationship Id="rId23" Type="http://schemas.openxmlformats.org/officeDocument/2006/relationships/image" Target="../media/image263.jpeg"/><Relationship Id="rId22" Type="http://schemas.openxmlformats.org/officeDocument/2006/relationships/image" Target="../media/image262.jpeg"/><Relationship Id="rId21" Type="http://schemas.openxmlformats.org/officeDocument/2006/relationships/image" Target="../media/image261.jpeg"/><Relationship Id="rId20" Type="http://schemas.openxmlformats.org/officeDocument/2006/relationships/image" Target="../media/image260.jpeg"/><Relationship Id="rId2" Type="http://schemas.openxmlformats.org/officeDocument/2006/relationships/image" Target="../media/image242.jpeg"/><Relationship Id="rId19" Type="http://schemas.openxmlformats.org/officeDocument/2006/relationships/image" Target="../media/image259.jpeg"/><Relationship Id="rId18" Type="http://schemas.openxmlformats.org/officeDocument/2006/relationships/image" Target="../media/image258.jpeg"/><Relationship Id="rId17" Type="http://schemas.openxmlformats.org/officeDocument/2006/relationships/image" Target="../media/image257.jpeg"/><Relationship Id="rId16" Type="http://schemas.openxmlformats.org/officeDocument/2006/relationships/image" Target="../media/image256.jpeg"/><Relationship Id="rId15" Type="http://schemas.openxmlformats.org/officeDocument/2006/relationships/image" Target="../media/image255.jpeg"/><Relationship Id="rId14" Type="http://schemas.openxmlformats.org/officeDocument/2006/relationships/image" Target="../media/image254.jpeg"/><Relationship Id="rId13" Type="http://schemas.openxmlformats.org/officeDocument/2006/relationships/image" Target="../media/image253.jpeg"/><Relationship Id="rId12" Type="http://schemas.openxmlformats.org/officeDocument/2006/relationships/image" Target="../media/image252.jpeg"/><Relationship Id="rId11" Type="http://schemas.openxmlformats.org/officeDocument/2006/relationships/image" Target="../media/image251.jpeg"/><Relationship Id="rId10" Type="http://schemas.openxmlformats.org/officeDocument/2006/relationships/image" Target="../media/image250.jpeg"/><Relationship Id="rId1" Type="http://schemas.openxmlformats.org/officeDocument/2006/relationships/image" Target="../media/image241.jpeg"/></Relationships>
</file>

<file path=xl/drawings/_rels/drawing6.xml.rels><?xml version="1.0" encoding="UTF-8" standalone="yes"?>
<Relationships xmlns="http://schemas.openxmlformats.org/package/2006/relationships"><Relationship Id="rId97" Type="http://schemas.openxmlformats.org/officeDocument/2006/relationships/image" Target="../media/image411.jpeg"/><Relationship Id="rId96" Type="http://schemas.openxmlformats.org/officeDocument/2006/relationships/image" Target="../media/image410.jpeg"/><Relationship Id="rId95" Type="http://schemas.openxmlformats.org/officeDocument/2006/relationships/image" Target="../media/image409.jpeg"/><Relationship Id="rId94" Type="http://schemas.openxmlformats.org/officeDocument/2006/relationships/image" Target="NULL" TargetMode="External"/><Relationship Id="rId93" Type="http://schemas.openxmlformats.org/officeDocument/2006/relationships/image" Target="../media/image408.jpeg"/><Relationship Id="rId92" Type="http://schemas.openxmlformats.org/officeDocument/2006/relationships/image" Target="../media/image407.jpeg"/><Relationship Id="rId91" Type="http://schemas.openxmlformats.org/officeDocument/2006/relationships/image" Target="../media/image406.jpeg"/><Relationship Id="rId90" Type="http://schemas.openxmlformats.org/officeDocument/2006/relationships/image" Target="../media/image405.jpeg"/><Relationship Id="rId9" Type="http://schemas.openxmlformats.org/officeDocument/2006/relationships/image" Target="../media/image324.jpeg"/><Relationship Id="rId89" Type="http://schemas.openxmlformats.org/officeDocument/2006/relationships/image" Target="../media/image404.jpeg"/><Relationship Id="rId88" Type="http://schemas.openxmlformats.org/officeDocument/2006/relationships/image" Target="../media/image403.jpeg"/><Relationship Id="rId87" Type="http://schemas.openxmlformats.org/officeDocument/2006/relationships/image" Target="../media/image402.jpeg"/><Relationship Id="rId86" Type="http://schemas.openxmlformats.org/officeDocument/2006/relationships/image" Target="../media/image401.jpeg"/><Relationship Id="rId85" Type="http://schemas.openxmlformats.org/officeDocument/2006/relationships/image" Target="../media/image400.jpeg"/><Relationship Id="rId84" Type="http://schemas.openxmlformats.org/officeDocument/2006/relationships/image" Target="../media/image399.jpeg"/><Relationship Id="rId83" Type="http://schemas.openxmlformats.org/officeDocument/2006/relationships/image" Target="../media/image398.jpeg"/><Relationship Id="rId82" Type="http://schemas.openxmlformats.org/officeDocument/2006/relationships/image" Target="../media/image397.jpeg"/><Relationship Id="rId81" Type="http://schemas.openxmlformats.org/officeDocument/2006/relationships/image" Target="../media/image396.jpeg"/><Relationship Id="rId80" Type="http://schemas.openxmlformats.org/officeDocument/2006/relationships/image" Target="../media/image395.jpeg"/><Relationship Id="rId8" Type="http://schemas.openxmlformats.org/officeDocument/2006/relationships/image" Target="../media/image323.jpeg"/><Relationship Id="rId79" Type="http://schemas.openxmlformats.org/officeDocument/2006/relationships/image" Target="../media/image394.jpeg"/><Relationship Id="rId78" Type="http://schemas.openxmlformats.org/officeDocument/2006/relationships/image" Target="../media/image393.jpeg"/><Relationship Id="rId77" Type="http://schemas.openxmlformats.org/officeDocument/2006/relationships/image" Target="../media/image392.jpeg"/><Relationship Id="rId76" Type="http://schemas.openxmlformats.org/officeDocument/2006/relationships/image" Target="../media/image391.jpeg"/><Relationship Id="rId75" Type="http://schemas.openxmlformats.org/officeDocument/2006/relationships/image" Target="../media/image390.jpeg"/><Relationship Id="rId74" Type="http://schemas.openxmlformats.org/officeDocument/2006/relationships/image" Target="../media/image389.jpeg"/><Relationship Id="rId73" Type="http://schemas.openxmlformats.org/officeDocument/2006/relationships/image" Target="../media/image388.jpeg"/><Relationship Id="rId72" Type="http://schemas.openxmlformats.org/officeDocument/2006/relationships/image" Target="../media/image387.jpeg"/><Relationship Id="rId71" Type="http://schemas.openxmlformats.org/officeDocument/2006/relationships/image" Target="../media/image386.jpeg"/><Relationship Id="rId70" Type="http://schemas.openxmlformats.org/officeDocument/2006/relationships/image" Target="../media/image385.jpeg"/><Relationship Id="rId7" Type="http://schemas.openxmlformats.org/officeDocument/2006/relationships/image" Target="../media/image322.jpeg"/><Relationship Id="rId69" Type="http://schemas.openxmlformats.org/officeDocument/2006/relationships/image" Target="../media/image384.jpeg"/><Relationship Id="rId68" Type="http://schemas.openxmlformats.org/officeDocument/2006/relationships/image" Target="../media/image383.jpeg"/><Relationship Id="rId67" Type="http://schemas.openxmlformats.org/officeDocument/2006/relationships/image" Target="../media/image382.jpeg"/><Relationship Id="rId66" Type="http://schemas.openxmlformats.org/officeDocument/2006/relationships/image" Target="../media/image381.jpeg"/><Relationship Id="rId65" Type="http://schemas.openxmlformats.org/officeDocument/2006/relationships/image" Target="../media/image380.jpeg"/><Relationship Id="rId64" Type="http://schemas.openxmlformats.org/officeDocument/2006/relationships/image" Target="../media/image379.jpeg"/><Relationship Id="rId63" Type="http://schemas.openxmlformats.org/officeDocument/2006/relationships/image" Target="../media/image378.jpeg"/><Relationship Id="rId62" Type="http://schemas.openxmlformats.org/officeDocument/2006/relationships/image" Target="../media/image377.jpeg"/><Relationship Id="rId61" Type="http://schemas.openxmlformats.org/officeDocument/2006/relationships/image" Target="../media/image376.jpeg"/><Relationship Id="rId60" Type="http://schemas.openxmlformats.org/officeDocument/2006/relationships/image" Target="../media/image375.jpeg"/><Relationship Id="rId6" Type="http://schemas.openxmlformats.org/officeDocument/2006/relationships/image" Target="../media/image321.jpeg"/><Relationship Id="rId59" Type="http://schemas.openxmlformats.org/officeDocument/2006/relationships/image" Target="../media/image374.jpeg"/><Relationship Id="rId58" Type="http://schemas.openxmlformats.org/officeDocument/2006/relationships/image" Target="../media/image373.jpeg"/><Relationship Id="rId57" Type="http://schemas.openxmlformats.org/officeDocument/2006/relationships/image" Target="../media/image372.jpeg"/><Relationship Id="rId56" Type="http://schemas.openxmlformats.org/officeDocument/2006/relationships/image" Target="../media/image371.jpeg"/><Relationship Id="rId55" Type="http://schemas.openxmlformats.org/officeDocument/2006/relationships/image" Target="../media/image370.jpeg"/><Relationship Id="rId54" Type="http://schemas.openxmlformats.org/officeDocument/2006/relationships/image" Target="../media/image369.jpeg"/><Relationship Id="rId53" Type="http://schemas.openxmlformats.org/officeDocument/2006/relationships/image" Target="../media/image368.jpeg"/><Relationship Id="rId52" Type="http://schemas.openxmlformats.org/officeDocument/2006/relationships/image" Target="../media/image367.jpeg"/><Relationship Id="rId51" Type="http://schemas.openxmlformats.org/officeDocument/2006/relationships/image" Target="../media/image366.jpeg"/><Relationship Id="rId50" Type="http://schemas.openxmlformats.org/officeDocument/2006/relationships/image" Target="../media/image365.jpeg"/><Relationship Id="rId5" Type="http://schemas.openxmlformats.org/officeDocument/2006/relationships/image" Target="../media/image320.jpeg"/><Relationship Id="rId49" Type="http://schemas.openxmlformats.org/officeDocument/2006/relationships/image" Target="../media/image364.jpeg"/><Relationship Id="rId48" Type="http://schemas.openxmlformats.org/officeDocument/2006/relationships/image" Target="../media/image363.jpeg"/><Relationship Id="rId47" Type="http://schemas.openxmlformats.org/officeDocument/2006/relationships/image" Target="../media/image362.jpeg"/><Relationship Id="rId46" Type="http://schemas.openxmlformats.org/officeDocument/2006/relationships/image" Target="../media/image361.jpeg"/><Relationship Id="rId45" Type="http://schemas.openxmlformats.org/officeDocument/2006/relationships/image" Target="../media/image360.jpeg"/><Relationship Id="rId44" Type="http://schemas.openxmlformats.org/officeDocument/2006/relationships/image" Target="../media/image359.jpeg"/><Relationship Id="rId43" Type="http://schemas.openxmlformats.org/officeDocument/2006/relationships/image" Target="../media/image358.jpeg"/><Relationship Id="rId42" Type="http://schemas.openxmlformats.org/officeDocument/2006/relationships/image" Target="../media/image357.jpeg"/><Relationship Id="rId41" Type="http://schemas.openxmlformats.org/officeDocument/2006/relationships/image" Target="../media/image356.jpeg"/><Relationship Id="rId40" Type="http://schemas.openxmlformats.org/officeDocument/2006/relationships/image" Target="../media/image355.jpeg"/><Relationship Id="rId4" Type="http://schemas.openxmlformats.org/officeDocument/2006/relationships/image" Target="../media/image319.jpeg"/><Relationship Id="rId39" Type="http://schemas.openxmlformats.org/officeDocument/2006/relationships/image" Target="../media/image354.jpeg"/><Relationship Id="rId38" Type="http://schemas.openxmlformats.org/officeDocument/2006/relationships/image" Target="../media/image353.jpeg"/><Relationship Id="rId37" Type="http://schemas.openxmlformats.org/officeDocument/2006/relationships/image" Target="../media/image352.jpeg"/><Relationship Id="rId36" Type="http://schemas.openxmlformats.org/officeDocument/2006/relationships/image" Target="../media/image351.jpeg"/><Relationship Id="rId35" Type="http://schemas.openxmlformats.org/officeDocument/2006/relationships/image" Target="../media/image350.jpeg"/><Relationship Id="rId34" Type="http://schemas.openxmlformats.org/officeDocument/2006/relationships/image" Target="../media/image349.jpeg"/><Relationship Id="rId33" Type="http://schemas.openxmlformats.org/officeDocument/2006/relationships/image" Target="../media/image348.jpeg"/><Relationship Id="rId32" Type="http://schemas.openxmlformats.org/officeDocument/2006/relationships/image" Target="../media/image347.jpeg"/><Relationship Id="rId31" Type="http://schemas.openxmlformats.org/officeDocument/2006/relationships/image" Target="../media/image346.jpeg"/><Relationship Id="rId30" Type="http://schemas.openxmlformats.org/officeDocument/2006/relationships/image" Target="../media/image345.jpeg"/><Relationship Id="rId3" Type="http://schemas.openxmlformats.org/officeDocument/2006/relationships/image" Target="../media/image318.jpeg"/><Relationship Id="rId29" Type="http://schemas.openxmlformats.org/officeDocument/2006/relationships/image" Target="../media/image344.jpeg"/><Relationship Id="rId28" Type="http://schemas.openxmlformats.org/officeDocument/2006/relationships/image" Target="../media/image343.jpeg"/><Relationship Id="rId27" Type="http://schemas.openxmlformats.org/officeDocument/2006/relationships/image" Target="../media/image342.jpeg"/><Relationship Id="rId26" Type="http://schemas.openxmlformats.org/officeDocument/2006/relationships/image" Target="../media/image341.jpeg"/><Relationship Id="rId25" Type="http://schemas.openxmlformats.org/officeDocument/2006/relationships/image" Target="../media/image340.jpeg"/><Relationship Id="rId24" Type="http://schemas.openxmlformats.org/officeDocument/2006/relationships/image" Target="../media/image339.jpeg"/><Relationship Id="rId23" Type="http://schemas.openxmlformats.org/officeDocument/2006/relationships/image" Target="../media/image338.jpeg"/><Relationship Id="rId22" Type="http://schemas.openxmlformats.org/officeDocument/2006/relationships/image" Target="../media/image337.jpeg"/><Relationship Id="rId21" Type="http://schemas.openxmlformats.org/officeDocument/2006/relationships/image" Target="../media/image336.jpeg"/><Relationship Id="rId20" Type="http://schemas.openxmlformats.org/officeDocument/2006/relationships/image" Target="../media/image335.jpeg"/><Relationship Id="rId2" Type="http://schemas.openxmlformats.org/officeDocument/2006/relationships/image" Target="../media/image317.jpeg"/><Relationship Id="rId19" Type="http://schemas.openxmlformats.org/officeDocument/2006/relationships/image" Target="../media/image334.jpeg"/><Relationship Id="rId18" Type="http://schemas.openxmlformats.org/officeDocument/2006/relationships/image" Target="../media/image333.jpeg"/><Relationship Id="rId17" Type="http://schemas.openxmlformats.org/officeDocument/2006/relationships/image" Target="../media/image332.jpeg"/><Relationship Id="rId16" Type="http://schemas.openxmlformats.org/officeDocument/2006/relationships/image" Target="../media/image331.jpeg"/><Relationship Id="rId15" Type="http://schemas.openxmlformats.org/officeDocument/2006/relationships/image" Target="../media/image330.jpeg"/><Relationship Id="rId14" Type="http://schemas.openxmlformats.org/officeDocument/2006/relationships/image" Target="../media/image329.jpeg"/><Relationship Id="rId13" Type="http://schemas.openxmlformats.org/officeDocument/2006/relationships/image" Target="../media/image328.jpeg"/><Relationship Id="rId12" Type="http://schemas.openxmlformats.org/officeDocument/2006/relationships/image" Target="../media/image327.jpeg"/><Relationship Id="rId11" Type="http://schemas.openxmlformats.org/officeDocument/2006/relationships/image" Target="../media/image326.jpeg"/><Relationship Id="rId10" Type="http://schemas.openxmlformats.org/officeDocument/2006/relationships/image" Target="../media/image325.jpeg"/><Relationship Id="rId1" Type="http://schemas.openxmlformats.org/officeDocument/2006/relationships/image" Target="../media/image316.jpeg"/></Relationships>
</file>

<file path=xl/drawings/_rels/drawing7.xml.rels><?xml version="1.0" encoding="UTF-8" standalone="yes"?>
<Relationships xmlns="http://schemas.openxmlformats.org/package/2006/relationships"><Relationship Id="rId9" Type="http://schemas.openxmlformats.org/officeDocument/2006/relationships/image" Target="../media/image420.jpeg"/><Relationship Id="rId8" Type="http://schemas.openxmlformats.org/officeDocument/2006/relationships/image" Target="../media/image419.jpeg"/><Relationship Id="rId7" Type="http://schemas.openxmlformats.org/officeDocument/2006/relationships/image" Target="../media/image418.jpeg"/><Relationship Id="rId6" Type="http://schemas.openxmlformats.org/officeDocument/2006/relationships/image" Target="../media/image417.jpeg"/><Relationship Id="rId5" Type="http://schemas.openxmlformats.org/officeDocument/2006/relationships/image" Target="../media/image416.jpeg"/><Relationship Id="rId46" Type="http://schemas.openxmlformats.org/officeDocument/2006/relationships/image" Target="../media/image457.jpeg"/><Relationship Id="rId45" Type="http://schemas.openxmlformats.org/officeDocument/2006/relationships/image" Target="../media/image456.jpeg"/><Relationship Id="rId44" Type="http://schemas.openxmlformats.org/officeDocument/2006/relationships/image" Target="../media/image455.jpeg"/><Relationship Id="rId43" Type="http://schemas.openxmlformats.org/officeDocument/2006/relationships/image" Target="../media/image454.jpeg"/><Relationship Id="rId42" Type="http://schemas.openxmlformats.org/officeDocument/2006/relationships/image" Target="../media/image453.jpeg"/><Relationship Id="rId41" Type="http://schemas.openxmlformats.org/officeDocument/2006/relationships/image" Target="../media/image452.jpeg"/><Relationship Id="rId40" Type="http://schemas.openxmlformats.org/officeDocument/2006/relationships/image" Target="../media/image451.jpeg"/><Relationship Id="rId4" Type="http://schemas.openxmlformats.org/officeDocument/2006/relationships/image" Target="../media/image415.jpeg"/><Relationship Id="rId39" Type="http://schemas.openxmlformats.org/officeDocument/2006/relationships/image" Target="../media/image450.jpeg"/><Relationship Id="rId38" Type="http://schemas.openxmlformats.org/officeDocument/2006/relationships/image" Target="../media/image449.jpeg"/><Relationship Id="rId37" Type="http://schemas.openxmlformats.org/officeDocument/2006/relationships/image" Target="../media/image448.jpeg"/><Relationship Id="rId36" Type="http://schemas.openxmlformats.org/officeDocument/2006/relationships/image" Target="../media/image447.jpeg"/><Relationship Id="rId35" Type="http://schemas.openxmlformats.org/officeDocument/2006/relationships/image" Target="../media/image446.jpeg"/><Relationship Id="rId34" Type="http://schemas.openxmlformats.org/officeDocument/2006/relationships/image" Target="../media/image445.jpeg"/><Relationship Id="rId33" Type="http://schemas.openxmlformats.org/officeDocument/2006/relationships/image" Target="../media/image444.jpeg"/><Relationship Id="rId32" Type="http://schemas.openxmlformats.org/officeDocument/2006/relationships/image" Target="../media/image443.jpeg"/><Relationship Id="rId31" Type="http://schemas.openxmlformats.org/officeDocument/2006/relationships/image" Target="../media/image442.jpeg"/><Relationship Id="rId30" Type="http://schemas.openxmlformats.org/officeDocument/2006/relationships/image" Target="../media/image441.jpeg"/><Relationship Id="rId3" Type="http://schemas.openxmlformats.org/officeDocument/2006/relationships/image" Target="../media/image414.jpeg"/><Relationship Id="rId29" Type="http://schemas.openxmlformats.org/officeDocument/2006/relationships/image" Target="../media/image440.jpeg"/><Relationship Id="rId28" Type="http://schemas.openxmlformats.org/officeDocument/2006/relationships/image" Target="../media/image439.jpeg"/><Relationship Id="rId27" Type="http://schemas.openxmlformats.org/officeDocument/2006/relationships/image" Target="../media/image438.jpeg"/><Relationship Id="rId26" Type="http://schemas.openxmlformats.org/officeDocument/2006/relationships/image" Target="../media/image437.jpeg"/><Relationship Id="rId25" Type="http://schemas.openxmlformats.org/officeDocument/2006/relationships/image" Target="../media/image436.jpeg"/><Relationship Id="rId24" Type="http://schemas.openxmlformats.org/officeDocument/2006/relationships/image" Target="../media/image435.jpeg"/><Relationship Id="rId23" Type="http://schemas.openxmlformats.org/officeDocument/2006/relationships/image" Target="../media/image434.jpeg"/><Relationship Id="rId22" Type="http://schemas.openxmlformats.org/officeDocument/2006/relationships/image" Target="../media/image433.jpeg"/><Relationship Id="rId21" Type="http://schemas.openxmlformats.org/officeDocument/2006/relationships/image" Target="../media/image432.jpeg"/><Relationship Id="rId20" Type="http://schemas.openxmlformats.org/officeDocument/2006/relationships/image" Target="../media/image431.jpeg"/><Relationship Id="rId2" Type="http://schemas.openxmlformats.org/officeDocument/2006/relationships/image" Target="../media/image413.jpeg"/><Relationship Id="rId19" Type="http://schemas.openxmlformats.org/officeDocument/2006/relationships/image" Target="../media/image430.jpeg"/><Relationship Id="rId18" Type="http://schemas.openxmlformats.org/officeDocument/2006/relationships/image" Target="../media/image429.jpeg"/><Relationship Id="rId17" Type="http://schemas.openxmlformats.org/officeDocument/2006/relationships/image" Target="../media/image428.jpeg"/><Relationship Id="rId16" Type="http://schemas.openxmlformats.org/officeDocument/2006/relationships/image" Target="../media/image427.jpeg"/><Relationship Id="rId15" Type="http://schemas.openxmlformats.org/officeDocument/2006/relationships/image" Target="../media/image426.jpeg"/><Relationship Id="rId14" Type="http://schemas.openxmlformats.org/officeDocument/2006/relationships/image" Target="../media/image425.jpeg"/><Relationship Id="rId13" Type="http://schemas.openxmlformats.org/officeDocument/2006/relationships/image" Target="../media/image424.jpeg"/><Relationship Id="rId12" Type="http://schemas.openxmlformats.org/officeDocument/2006/relationships/image" Target="../media/image423.jpeg"/><Relationship Id="rId11" Type="http://schemas.openxmlformats.org/officeDocument/2006/relationships/image" Target="../media/image422.jpeg"/><Relationship Id="rId10" Type="http://schemas.openxmlformats.org/officeDocument/2006/relationships/image" Target="../media/image421.jpeg"/><Relationship Id="rId1" Type="http://schemas.openxmlformats.org/officeDocument/2006/relationships/image" Target="../media/image412.jpeg"/></Relationships>
</file>

<file path=xl/drawings/_rels/drawing8.xml.rels><?xml version="1.0" encoding="UTF-8" standalone="yes"?>
<Relationships xmlns="http://schemas.openxmlformats.org/package/2006/relationships"><Relationship Id="rId9" Type="http://schemas.openxmlformats.org/officeDocument/2006/relationships/image" Target="../media/image466.jpeg"/><Relationship Id="rId8" Type="http://schemas.openxmlformats.org/officeDocument/2006/relationships/image" Target="../media/image465.jpeg"/><Relationship Id="rId7" Type="http://schemas.openxmlformats.org/officeDocument/2006/relationships/image" Target="../media/image464.jpeg"/><Relationship Id="rId6" Type="http://schemas.openxmlformats.org/officeDocument/2006/relationships/image" Target="../media/image463.jpeg"/><Relationship Id="rId5" Type="http://schemas.openxmlformats.org/officeDocument/2006/relationships/image" Target="../media/image462.jpeg"/><Relationship Id="rId4" Type="http://schemas.openxmlformats.org/officeDocument/2006/relationships/image" Target="../media/image461.jpeg"/><Relationship Id="rId38" Type="http://schemas.openxmlformats.org/officeDocument/2006/relationships/image" Target="../media/image495.jpeg"/><Relationship Id="rId37" Type="http://schemas.openxmlformats.org/officeDocument/2006/relationships/image" Target="../media/image494.jpeg"/><Relationship Id="rId36" Type="http://schemas.openxmlformats.org/officeDocument/2006/relationships/image" Target="../media/image493.jpeg"/><Relationship Id="rId35" Type="http://schemas.openxmlformats.org/officeDocument/2006/relationships/image" Target="../media/image492.jpeg"/><Relationship Id="rId34" Type="http://schemas.openxmlformats.org/officeDocument/2006/relationships/image" Target="../media/image491.jpeg"/><Relationship Id="rId33" Type="http://schemas.openxmlformats.org/officeDocument/2006/relationships/image" Target="../media/image490.jpeg"/><Relationship Id="rId32" Type="http://schemas.openxmlformats.org/officeDocument/2006/relationships/image" Target="../media/image489.jpeg"/><Relationship Id="rId31" Type="http://schemas.openxmlformats.org/officeDocument/2006/relationships/image" Target="../media/image488.jpeg"/><Relationship Id="rId30" Type="http://schemas.openxmlformats.org/officeDocument/2006/relationships/image" Target="../media/image487.jpeg"/><Relationship Id="rId3" Type="http://schemas.openxmlformats.org/officeDocument/2006/relationships/image" Target="../media/image460.jpeg"/><Relationship Id="rId29" Type="http://schemas.openxmlformats.org/officeDocument/2006/relationships/image" Target="../media/image486.jpeg"/><Relationship Id="rId28" Type="http://schemas.openxmlformats.org/officeDocument/2006/relationships/image" Target="../media/image485.jpeg"/><Relationship Id="rId27" Type="http://schemas.openxmlformats.org/officeDocument/2006/relationships/image" Target="../media/image484.jpeg"/><Relationship Id="rId26" Type="http://schemas.openxmlformats.org/officeDocument/2006/relationships/image" Target="../media/image483.jpeg"/><Relationship Id="rId25" Type="http://schemas.openxmlformats.org/officeDocument/2006/relationships/image" Target="../media/image482.jpeg"/><Relationship Id="rId24" Type="http://schemas.openxmlformats.org/officeDocument/2006/relationships/image" Target="../media/image481.jpeg"/><Relationship Id="rId23" Type="http://schemas.openxmlformats.org/officeDocument/2006/relationships/image" Target="../media/image480.jpeg"/><Relationship Id="rId22" Type="http://schemas.openxmlformats.org/officeDocument/2006/relationships/image" Target="../media/image479.jpeg"/><Relationship Id="rId21" Type="http://schemas.openxmlformats.org/officeDocument/2006/relationships/image" Target="../media/image478.jpeg"/><Relationship Id="rId20" Type="http://schemas.openxmlformats.org/officeDocument/2006/relationships/image" Target="../media/image477.jpeg"/><Relationship Id="rId2" Type="http://schemas.openxmlformats.org/officeDocument/2006/relationships/image" Target="../media/image459.jpeg"/><Relationship Id="rId19" Type="http://schemas.openxmlformats.org/officeDocument/2006/relationships/image" Target="../media/image476.jpeg"/><Relationship Id="rId18" Type="http://schemas.openxmlformats.org/officeDocument/2006/relationships/image" Target="../media/image475.jpeg"/><Relationship Id="rId17" Type="http://schemas.openxmlformats.org/officeDocument/2006/relationships/image" Target="../media/image474.jpeg"/><Relationship Id="rId16" Type="http://schemas.openxmlformats.org/officeDocument/2006/relationships/image" Target="../media/image473.jpeg"/><Relationship Id="rId15" Type="http://schemas.openxmlformats.org/officeDocument/2006/relationships/image" Target="../media/image472.jpeg"/><Relationship Id="rId14" Type="http://schemas.openxmlformats.org/officeDocument/2006/relationships/image" Target="../media/image471.jpeg"/><Relationship Id="rId13" Type="http://schemas.openxmlformats.org/officeDocument/2006/relationships/image" Target="../media/image470.jpeg"/><Relationship Id="rId12" Type="http://schemas.openxmlformats.org/officeDocument/2006/relationships/image" Target="../media/image469.jpeg"/><Relationship Id="rId11" Type="http://schemas.openxmlformats.org/officeDocument/2006/relationships/image" Target="../media/image468.jpeg"/><Relationship Id="rId10" Type="http://schemas.openxmlformats.org/officeDocument/2006/relationships/image" Target="../media/image467.jpeg"/><Relationship Id="rId1" Type="http://schemas.openxmlformats.org/officeDocument/2006/relationships/image" Target="../media/image458.jpeg"/></Relationships>
</file>

<file path=xl/drawings/_rels/drawing9.xml.rels><?xml version="1.0" encoding="UTF-8" standalone="yes"?>
<Relationships xmlns="http://schemas.openxmlformats.org/package/2006/relationships"><Relationship Id="rId9" Type="http://schemas.openxmlformats.org/officeDocument/2006/relationships/image" Target="../media/image504.jpeg"/><Relationship Id="rId8" Type="http://schemas.openxmlformats.org/officeDocument/2006/relationships/image" Target="../media/image503.jpeg"/><Relationship Id="rId7" Type="http://schemas.openxmlformats.org/officeDocument/2006/relationships/image" Target="../media/image502.jpeg"/><Relationship Id="rId65" Type="http://schemas.openxmlformats.org/officeDocument/2006/relationships/image" Target="../media/image560.jpeg"/><Relationship Id="rId64" Type="http://schemas.openxmlformats.org/officeDocument/2006/relationships/image" Target="../media/image559.jpeg"/><Relationship Id="rId63" Type="http://schemas.openxmlformats.org/officeDocument/2006/relationships/image" Target="../media/image558.jpeg"/><Relationship Id="rId62" Type="http://schemas.openxmlformats.org/officeDocument/2006/relationships/image" Target="../media/image557.jpeg"/><Relationship Id="rId61" Type="http://schemas.openxmlformats.org/officeDocument/2006/relationships/image" Target="../media/image556.jpeg"/><Relationship Id="rId60" Type="http://schemas.openxmlformats.org/officeDocument/2006/relationships/image" Target="../media/image555.jpeg"/><Relationship Id="rId6" Type="http://schemas.openxmlformats.org/officeDocument/2006/relationships/image" Target="../media/image501.jpeg"/><Relationship Id="rId59" Type="http://schemas.openxmlformats.org/officeDocument/2006/relationships/image" Target="../media/image554.jpeg"/><Relationship Id="rId58" Type="http://schemas.openxmlformats.org/officeDocument/2006/relationships/image" Target="../media/image553.jpeg"/><Relationship Id="rId57" Type="http://schemas.openxmlformats.org/officeDocument/2006/relationships/image" Target="../media/image552.jpeg"/><Relationship Id="rId56" Type="http://schemas.openxmlformats.org/officeDocument/2006/relationships/image" Target="../media/image551.jpeg"/><Relationship Id="rId55" Type="http://schemas.openxmlformats.org/officeDocument/2006/relationships/image" Target="../media/image550.jpeg"/><Relationship Id="rId54" Type="http://schemas.openxmlformats.org/officeDocument/2006/relationships/image" Target="../media/image549.jpeg"/><Relationship Id="rId53" Type="http://schemas.openxmlformats.org/officeDocument/2006/relationships/image" Target="../media/image548.jpeg"/><Relationship Id="rId52" Type="http://schemas.openxmlformats.org/officeDocument/2006/relationships/image" Target="../media/image547.jpeg"/><Relationship Id="rId51" Type="http://schemas.openxmlformats.org/officeDocument/2006/relationships/image" Target="../media/image546.jpeg"/><Relationship Id="rId50" Type="http://schemas.openxmlformats.org/officeDocument/2006/relationships/image" Target="../media/image545.jpeg"/><Relationship Id="rId5" Type="http://schemas.openxmlformats.org/officeDocument/2006/relationships/image" Target="../media/image500.jpeg"/><Relationship Id="rId49" Type="http://schemas.openxmlformats.org/officeDocument/2006/relationships/image" Target="../media/image544.jpeg"/><Relationship Id="rId48" Type="http://schemas.openxmlformats.org/officeDocument/2006/relationships/image" Target="../media/image543.jpeg"/><Relationship Id="rId47" Type="http://schemas.openxmlformats.org/officeDocument/2006/relationships/image" Target="../media/image542.jpeg"/><Relationship Id="rId46" Type="http://schemas.openxmlformats.org/officeDocument/2006/relationships/image" Target="../media/image541.jpeg"/><Relationship Id="rId45" Type="http://schemas.openxmlformats.org/officeDocument/2006/relationships/image" Target="../media/image540.jpeg"/><Relationship Id="rId44" Type="http://schemas.openxmlformats.org/officeDocument/2006/relationships/image" Target="../media/image539.jpeg"/><Relationship Id="rId43" Type="http://schemas.openxmlformats.org/officeDocument/2006/relationships/image" Target="../media/image538.jpeg"/><Relationship Id="rId42" Type="http://schemas.openxmlformats.org/officeDocument/2006/relationships/image" Target="../media/image537.jpeg"/><Relationship Id="rId41" Type="http://schemas.openxmlformats.org/officeDocument/2006/relationships/image" Target="../media/image536.jpeg"/><Relationship Id="rId40" Type="http://schemas.openxmlformats.org/officeDocument/2006/relationships/image" Target="../media/image535.jpeg"/><Relationship Id="rId4" Type="http://schemas.openxmlformats.org/officeDocument/2006/relationships/image" Target="../media/image499.jpeg"/><Relationship Id="rId39" Type="http://schemas.openxmlformats.org/officeDocument/2006/relationships/image" Target="../media/image534.jpeg"/><Relationship Id="rId38" Type="http://schemas.openxmlformats.org/officeDocument/2006/relationships/image" Target="../media/image533.jpeg"/><Relationship Id="rId37" Type="http://schemas.openxmlformats.org/officeDocument/2006/relationships/image" Target="../media/image532.jpeg"/><Relationship Id="rId36" Type="http://schemas.openxmlformats.org/officeDocument/2006/relationships/image" Target="../media/image531.jpeg"/><Relationship Id="rId35" Type="http://schemas.openxmlformats.org/officeDocument/2006/relationships/image" Target="../media/image530.jpeg"/><Relationship Id="rId34" Type="http://schemas.openxmlformats.org/officeDocument/2006/relationships/image" Target="../media/image529.jpeg"/><Relationship Id="rId33" Type="http://schemas.openxmlformats.org/officeDocument/2006/relationships/image" Target="../media/image528.jpeg"/><Relationship Id="rId32" Type="http://schemas.openxmlformats.org/officeDocument/2006/relationships/image" Target="../media/image527.jpeg"/><Relationship Id="rId31" Type="http://schemas.openxmlformats.org/officeDocument/2006/relationships/image" Target="../media/image526.jpeg"/><Relationship Id="rId30" Type="http://schemas.openxmlformats.org/officeDocument/2006/relationships/image" Target="../media/image525.jpeg"/><Relationship Id="rId3" Type="http://schemas.openxmlformats.org/officeDocument/2006/relationships/image" Target="../media/image498.jpeg"/><Relationship Id="rId29" Type="http://schemas.openxmlformats.org/officeDocument/2006/relationships/image" Target="../media/image524.jpeg"/><Relationship Id="rId28" Type="http://schemas.openxmlformats.org/officeDocument/2006/relationships/image" Target="../media/image523.jpeg"/><Relationship Id="rId27" Type="http://schemas.openxmlformats.org/officeDocument/2006/relationships/image" Target="../media/image522.jpeg"/><Relationship Id="rId26" Type="http://schemas.openxmlformats.org/officeDocument/2006/relationships/image" Target="../media/image521.jpeg"/><Relationship Id="rId25" Type="http://schemas.openxmlformats.org/officeDocument/2006/relationships/image" Target="../media/image520.jpeg"/><Relationship Id="rId24" Type="http://schemas.openxmlformats.org/officeDocument/2006/relationships/image" Target="../media/image519.jpeg"/><Relationship Id="rId23" Type="http://schemas.openxmlformats.org/officeDocument/2006/relationships/image" Target="../media/image518.jpeg"/><Relationship Id="rId22" Type="http://schemas.openxmlformats.org/officeDocument/2006/relationships/image" Target="../media/image517.jpeg"/><Relationship Id="rId21" Type="http://schemas.openxmlformats.org/officeDocument/2006/relationships/image" Target="../media/image516.jpeg"/><Relationship Id="rId20" Type="http://schemas.openxmlformats.org/officeDocument/2006/relationships/image" Target="../media/image515.jpeg"/><Relationship Id="rId2" Type="http://schemas.openxmlformats.org/officeDocument/2006/relationships/image" Target="../media/image497.jpeg"/><Relationship Id="rId19" Type="http://schemas.openxmlformats.org/officeDocument/2006/relationships/image" Target="../media/image514.jpeg"/><Relationship Id="rId18" Type="http://schemas.openxmlformats.org/officeDocument/2006/relationships/image" Target="../media/image513.jpeg"/><Relationship Id="rId17" Type="http://schemas.openxmlformats.org/officeDocument/2006/relationships/image" Target="../media/image512.jpeg"/><Relationship Id="rId16" Type="http://schemas.openxmlformats.org/officeDocument/2006/relationships/image" Target="../media/image511.jpeg"/><Relationship Id="rId15" Type="http://schemas.openxmlformats.org/officeDocument/2006/relationships/image" Target="../media/image510.jpeg"/><Relationship Id="rId14" Type="http://schemas.openxmlformats.org/officeDocument/2006/relationships/image" Target="../media/image509.jpeg"/><Relationship Id="rId13" Type="http://schemas.openxmlformats.org/officeDocument/2006/relationships/image" Target="../media/image508.jpeg"/><Relationship Id="rId12" Type="http://schemas.openxmlformats.org/officeDocument/2006/relationships/image" Target="../media/image507.jpeg"/><Relationship Id="rId11" Type="http://schemas.openxmlformats.org/officeDocument/2006/relationships/image" Target="../media/image506.jpeg"/><Relationship Id="rId10" Type="http://schemas.openxmlformats.org/officeDocument/2006/relationships/image" Target="../media/image505.jpeg"/><Relationship Id="rId1" Type="http://schemas.openxmlformats.org/officeDocument/2006/relationships/image" Target="../media/image496.jpeg"/></Relationships>
</file>

<file path=xl/drawings/_rels/drawing10.xml.rels><?xml version="1.0" encoding="UTF-8" standalone="yes"?>
<Relationships xmlns="http://schemas.openxmlformats.org/package/2006/relationships"><Relationship Id="rId9" Type="http://schemas.openxmlformats.org/officeDocument/2006/relationships/image" Target="../media/image569.jpeg"/><Relationship Id="rId8" Type="http://schemas.openxmlformats.org/officeDocument/2006/relationships/image" Target="../media/image568.jpeg"/><Relationship Id="rId7" Type="http://schemas.openxmlformats.org/officeDocument/2006/relationships/image" Target="../media/image567.jpeg"/><Relationship Id="rId6" Type="http://schemas.openxmlformats.org/officeDocument/2006/relationships/image" Target="../media/image566.jpeg"/><Relationship Id="rId5" Type="http://schemas.openxmlformats.org/officeDocument/2006/relationships/image" Target="../media/image565.jpeg"/><Relationship Id="rId4" Type="http://schemas.openxmlformats.org/officeDocument/2006/relationships/image" Target="../media/image564.jpeg"/><Relationship Id="rId3" Type="http://schemas.openxmlformats.org/officeDocument/2006/relationships/image" Target="../media/image563.jpeg"/><Relationship Id="rId2" Type="http://schemas.openxmlformats.org/officeDocument/2006/relationships/image" Target="../media/image562.jpeg"/><Relationship Id="rId11" Type="http://schemas.openxmlformats.org/officeDocument/2006/relationships/image" Target="../media/image571.jpeg"/><Relationship Id="rId10" Type="http://schemas.openxmlformats.org/officeDocument/2006/relationships/image" Target="../media/image570.jpeg"/><Relationship Id="rId1" Type="http://schemas.openxmlformats.org/officeDocument/2006/relationships/image" Target="../media/image561.jpeg"/></Relationships>
</file>

<file path=xl/drawings/_rels/drawing11.xml.rels><?xml version="1.0" encoding="UTF-8" standalone="yes"?>
<Relationships xmlns="http://schemas.openxmlformats.org/package/2006/relationships"><Relationship Id="rId9" Type="http://schemas.openxmlformats.org/officeDocument/2006/relationships/image" Target="../media/image580.jpeg"/><Relationship Id="rId8" Type="http://schemas.openxmlformats.org/officeDocument/2006/relationships/image" Target="../media/image579.jpeg"/><Relationship Id="rId7" Type="http://schemas.openxmlformats.org/officeDocument/2006/relationships/image" Target="../media/image578.jpeg"/><Relationship Id="rId6" Type="http://schemas.openxmlformats.org/officeDocument/2006/relationships/image" Target="../media/image577.jpeg"/><Relationship Id="rId5" Type="http://schemas.openxmlformats.org/officeDocument/2006/relationships/image" Target="../media/image576.jpeg"/><Relationship Id="rId4" Type="http://schemas.openxmlformats.org/officeDocument/2006/relationships/image" Target="../media/image575.jpeg"/><Relationship Id="rId3" Type="http://schemas.openxmlformats.org/officeDocument/2006/relationships/image" Target="../media/image574.jpeg"/><Relationship Id="rId2" Type="http://schemas.openxmlformats.org/officeDocument/2006/relationships/image" Target="../media/image573.jpeg"/><Relationship Id="rId16" Type="http://schemas.openxmlformats.org/officeDocument/2006/relationships/image" Target="../media/image587.jpeg"/><Relationship Id="rId15" Type="http://schemas.openxmlformats.org/officeDocument/2006/relationships/image" Target="../media/image586.jpeg"/><Relationship Id="rId14" Type="http://schemas.openxmlformats.org/officeDocument/2006/relationships/image" Target="../media/image585.jpeg"/><Relationship Id="rId13" Type="http://schemas.openxmlformats.org/officeDocument/2006/relationships/image" Target="../media/image584.jpeg"/><Relationship Id="rId12" Type="http://schemas.openxmlformats.org/officeDocument/2006/relationships/image" Target="../media/image583.jpeg"/><Relationship Id="rId11" Type="http://schemas.openxmlformats.org/officeDocument/2006/relationships/image" Target="../media/image582.jpeg"/><Relationship Id="rId10" Type="http://schemas.openxmlformats.org/officeDocument/2006/relationships/image" Target="../media/image581.jpeg"/><Relationship Id="rId1" Type="http://schemas.openxmlformats.org/officeDocument/2006/relationships/image" Target="../media/image572.jpeg"/></Relationships>
</file>

<file path=xl/drawings/_rels/drawing12.xml.rels><?xml version="1.0" encoding="UTF-8" standalone="yes"?>
<Relationships xmlns="http://schemas.openxmlformats.org/package/2006/relationships"><Relationship Id="rId4" Type="http://schemas.openxmlformats.org/officeDocument/2006/relationships/image" Target="../media/image591.jpeg"/><Relationship Id="rId3" Type="http://schemas.openxmlformats.org/officeDocument/2006/relationships/image" Target="../media/image590.jpeg"/><Relationship Id="rId2" Type="http://schemas.openxmlformats.org/officeDocument/2006/relationships/image" Target="../media/image589.jpeg"/><Relationship Id="rId1" Type="http://schemas.openxmlformats.org/officeDocument/2006/relationships/image" Target="../media/image588.jpe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592.jpeg"/></Relationships>
</file>

<file path=xl/drawings/_rels/drawing14.xml.rels><?xml version="1.0" encoding="UTF-8" standalone="yes"?>
<Relationships xmlns="http://schemas.openxmlformats.org/package/2006/relationships"><Relationship Id="rId6" Type="http://schemas.openxmlformats.org/officeDocument/2006/relationships/image" Target="../media/image598.jpeg"/><Relationship Id="rId5" Type="http://schemas.openxmlformats.org/officeDocument/2006/relationships/image" Target="../media/image597.jpeg"/><Relationship Id="rId4" Type="http://schemas.openxmlformats.org/officeDocument/2006/relationships/image" Target="../media/image596.jpeg"/><Relationship Id="rId3" Type="http://schemas.openxmlformats.org/officeDocument/2006/relationships/image" Target="../media/image595.jpeg"/><Relationship Id="rId2" Type="http://schemas.openxmlformats.org/officeDocument/2006/relationships/image" Target="../media/image594.jpeg"/><Relationship Id="rId1" Type="http://schemas.openxmlformats.org/officeDocument/2006/relationships/image" Target="../media/image593.jpeg"/></Relationships>
</file>

<file path=xl/drawings/_rels/drawing15.xml.rels><?xml version="1.0" encoding="UTF-8" standalone="yes"?>
<Relationships xmlns="http://schemas.openxmlformats.org/package/2006/relationships"><Relationship Id="rId6" Type="http://schemas.openxmlformats.org/officeDocument/2006/relationships/image" Target="../media/image604.jpeg"/><Relationship Id="rId5" Type="http://schemas.openxmlformats.org/officeDocument/2006/relationships/image" Target="../media/image603.jpeg"/><Relationship Id="rId4" Type="http://schemas.openxmlformats.org/officeDocument/2006/relationships/image" Target="../media/image602.jpeg"/><Relationship Id="rId3" Type="http://schemas.openxmlformats.org/officeDocument/2006/relationships/image" Target="../media/image601.jpeg"/><Relationship Id="rId2" Type="http://schemas.openxmlformats.org/officeDocument/2006/relationships/image" Target="../media/image600.jpeg"/><Relationship Id="rId1" Type="http://schemas.openxmlformats.org/officeDocument/2006/relationships/image" Target="../media/image599.jpeg"/></Relationships>
</file>

<file path=xl/drawings/_rels/drawing16.xml.rels><?xml version="1.0" encoding="UTF-8" standalone="yes"?>
<Relationships xmlns="http://schemas.openxmlformats.org/package/2006/relationships"><Relationship Id="rId9" Type="http://schemas.openxmlformats.org/officeDocument/2006/relationships/image" Target="../media/image613.jpeg"/><Relationship Id="rId8" Type="http://schemas.openxmlformats.org/officeDocument/2006/relationships/image" Target="../media/image612.jpeg"/><Relationship Id="rId7" Type="http://schemas.openxmlformats.org/officeDocument/2006/relationships/image" Target="../media/image611.jpeg"/><Relationship Id="rId6" Type="http://schemas.openxmlformats.org/officeDocument/2006/relationships/image" Target="../media/image610.jpeg"/><Relationship Id="rId5" Type="http://schemas.openxmlformats.org/officeDocument/2006/relationships/image" Target="../media/image609.jpeg"/><Relationship Id="rId4" Type="http://schemas.openxmlformats.org/officeDocument/2006/relationships/image" Target="../media/image608.jpeg"/><Relationship Id="rId36" Type="http://schemas.openxmlformats.org/officeDocument/2006/relationships/image" Target="../media/image640.jpeg"/><Relationship Id="rId35" Type="http://schemas.openxmlformats.org/officeDocument/2006/relationships/image" Target="../media/image639.jpeg"/><Relationship Id="rId34" Type="http://schemas.openxmlformats.org/officeDocument/2006/relationships/image" Target="../media/image638.jpeg"/><Relationship Id="rId33" Type="http://schemas.openxmlformats.org/officeDocument/2006/relationships/image" Target="../media/image637.jpeg"/><Relationship Id="rId32" Type="http://schemas.openxmlformats.org/officeDocument/2006/relationships/image" Target="../media/image636.jpeg"/><Relationship Id="rId31" Type="http://schemas.openxmlformats.org/officeDocument/2006/relationships/image" Target="../media/image635.jpeg"/><Relationship Id="rId30" Type="http://schemas.openxmlformats.org/officeDocument/2006/relationships/image" Target="../media/image634.jpeg"/><Relationship Id="rId3" Type="http://schemas.openxmlformats.org/officeDocument/2006/relationships/image" Target="../media/image607.jpeg"/><Relationship Id="rId29" Type="http://schemas.openxmlformats.org/officeDocument/2006/relationships/image" Target="../media/image633.jpeg"/><Relationship Id="rId28" Type="http://schemas.openxmlformats.org/officeDocument/2006/relationships/image" Target="../media/image632.jpeg"/><Relationship Id="rId27" Type="http://schemas.openxmlformats.org/officeDocument/2006/relationships/image" Target="../media/image631.jpeg"/><Relationship Id="rId26" Type="http://schemas.openxmlformats.org/officeDocument/2006/relationships/image" Target="../media/image630.jpeg"/><Relationship Id="rId25" Type="http://schemas.openxmlformats.org/officeDocument/2006/relationships/image" Target="../media/image629.jpeg"/><Relationship Id="rId24" Type="http://schemas.openxmlformats.org/officeDocument/2006/relationships/image" Target="../media/image628.jpeg"/><Relationship Id="rId23" Type="http://schemas.openxmlformats.org/officeDocument/2006/relationships/image" Target="../media/image627.jpeg"/><Relationship Id="rId22" Type="http://schemas.openxmlformats.org/officeDocument/2006/relationships/image" Target="../media/image626.jpeg"/><Relationship Id="rId21" Type="http://schemas.openxmlformats.org/officeDocument/2006/relationships/image" Target="../media/image625.jpeg"/><Relationship Id="rId20" Type="http://schemas.openxmlformats.org/officeDocument/2006/relationships/image" Target="../media/image624.jpeg"/><Relationship Id="rId2" Type="http://schemas.openxmlformats.org/officeDocument/2006/relationships/image" Target="../media/image606.jpeg"/><Relationship Id="rId19" Type="http://schemas.openxmlformats.org/officeDocument/2006/relationships/image" Target="../media/image623.jpeg"/><Relationship Id="rId18" Type="http://schemas.openxmlformats.org/officeDocument/2006/relationships/image" Target="../media/image622.jpeg"/><Relationship Id="rId17" Type="http://schemas.openxmlformats.org/officeDocument/2006/relationships/image" Target="../media/image621.jpeg"/><Relationship Id="rId16" Type="http://schemas.openxmlformats.org/officeDocument/2006/relationships/image" Target="../media/image620.jpeg"/><Relationship Id="rId15" Type="http://schemas.openxmlformats.org/officeDocument/2006/relationships/image" Target="../media/image619.jpeg"/><Relationship Id="rId14" Type="http://schemas.openxmlformats.org/officeDocument/2006/relationships/image" Target="../media/image618.jpeg"/><Relationship Id="rId13" Type="http://schemas.openxmlformats.org/officeDocument/2006/relationships/image" Target="../media/image617.jpeg"/><Relationship Id="rId12" Type="http://schemas.openxmlformats.org/officeDocument/2006/relationships/image" Target="../media/image616.jpeg"/><Relationship Id="rId11" Type="http://schemas.openxmlformats.org/officeDocument/2006/relationships/image" Target="../media/image615.jpeg"/><Relationship Id="rId10" Type="http://schemas.openxmlformats.org/officeDocument/2006/relationships/image" Target="../media/image614.jpeg"/><Relationship Id="rId1" Type="http://schemas.openxmlformats.org/officeDocument/2006/relationships/image" Target="../media/image605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95885</xdr:colOff>
      <xdr:row>118</xdr:row>
      <xdr:rowOff>92075</xdr:rowOff>
    </xdr:from>
    <xdr:to>
      <xdr:col>0</xdr:col>
      <xdr:colOff>1581785</xdr:colOff>
      <xdr:row>120</xdr:row>
      <xdr:rowOff>444500</xdr:rowOff>
    </xdr:to>
    <xdr:pic>
      <xdr:nvPicPr>
        <xdr:cNvPr id="2048" name="图片 1"/>
        <xdr:cNvPicPr>
          <a:picLocks noChangeAspect="1"/>
        </xdr:cNvPicPr>
      </xdr:nvPicPr>
      <xdr:blipFill>
        <a:blip r:embed="rId1">
          <a:lum/>
        </a:blip>
        <a:srcRect l="3925" t="1453" r="4076" b="3435"/>
        <a:stretch>
          <a:fillRect/>
        </a:stretch>
      </xdr:blipFill>
      <xdr:spPr>
        <a:xfrm>
          <a:off x="95885" y="73891775"/>
          <a:ext cx="1485900" cy="1317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85725</xdr:colOff>
      <xdr:row>60</xdr:row>
      <xdr:rowOff>28575</xdr:rowOff>
    </xdr:from>
    <xdr:to>
      <xdr:col>0</xdr:col>
      <xdr:colOff>1574165</xdr:colOff>
      <xdr:row>60</xdr:row>
      <xdr:rowOff>1437640</xdr:rowOff>
    </xdr:to>
    <xdr:pic>
      <xdr:nvPicPr>
        <xdr:cNvPr id="2073" name="图片 26" descr="782304c4568974e6a635a160f453104"/>
        <xdr:cNvPicPr>
          <a:picLocks noChangeAspect="1"/>
        </xdr:cNvPicPr>
      </xdr:nvPicPr>
      <xdr:blipFill>
        <a:blip r:embed="rId2">
          <a:lum/>
        </a:blip>
        <a:srcRect l="7281" r="8701"/>
        <a:stretch>
          <a:fillRect/>
        </a:stretch>
      </xdr:blipFill>
      <xdr:spPr>
        <a:xfrm>
          <a:off x="85725" y="39449375"/>
          <a:ext cx="1488440" cy="1409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70485</xdr:colOff>
      <xdr:row>121</xdr:row>
      <xdr:rowOff>46990</xdr:rowOff>
    </xdr:from>
    <xdr:to>
      <xdr:col>0</xdr:col>
      <xdr:colOff>1556385</xdr:colOff>
      <xdr:row>122</xdr:row>
      <xdr:rowOff>656590</xdr:rowOff>
    </xdr:to>
    <xdr:pic>
      <xdr:nvPicPr>
        <xdr:cNvPr id="2084" name="图片 37" descr="1655525462898"/>
        <xdr:cNvPicPr>
          <a:picLocks noChangeAspect="1"/>
        </xdr:cNvPicPr>
      </xdr:nvPicPr>
      <xdr:blipFill>
        <a:blip r:embed="rId3">
          <a:lum/>
        </a:blip>
        <a:srcRect l="7523"/>
        <a:stretch>
          <a:fillRect/>
        </a:stretch>
      </xdr:blipFill>
      <xdr:spPr>
        <a:xfrm>
          <a:off x="70485" y="75294490"/>
          <a:ext cx="1485900" cy="1333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190500</xdr:colOff>
      <xdr:row>111</xdr:row>
      <xdr:rowOff>38100</xdr:rowOff>
    </xdr:from>
    <xdr:to>
      <xdr:col>0</xdr:col>
      <xdr:colOff>1533525</xdr:colOff>
      <xdr:row>112</xdr:row>
      <xdr:rowOff>685800</xdr:rowOff>
    </xdr:to>
    <xdr:pic>
      <xdr:nvPicPr>
        <xdr:cNvPr id="2086" name="图片 39" descr="5a2cc77a84f7a0a76c7f0aee864dc6c"/>
        <xdr:cNvPicPr>
          <a:picLocks noChangeAspect="1"/>
        </xdr:cNvPicPr>
      </xdr:nvPicPr>
      <xdr:blipFill>
        <a:blip r:embed="rId4">
          <a:lum/>
        </a:blip>
        <a:stretch>
          <a:fillRect/>
        </a:stretch>
      </xdr:blipFill>
      <xdr:spPr>
        <a:xfrm>
          <a:off x="190500" y="70739000"/>
          <a:ext cx="1343025" cy="1371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161925</xdr:colOff>
      <xdr:row>93</xdr:row>
      <xdr:rowOff>57150</xdr:rowOff>
    </xdr:from>
    <xdr:to>
      <xdr:col>0</xdr:col>
      <xdr:colOff>1619250</xdr:colOff>
      <xdr:row>95</xdr:row>
      <xdr:rowOff>373380</xdr:rowOff>
    </xdr:to>
    <xdr:pic>
      <xdr:nvPicPr>
        <xdr:cNvPr id="2090" name="图片 43" descr="1665551929547"/>
        <xdr:cNvPicPr>
          <a:picLocks noChangeAspect="1"/>
        </xdr:cNvPicPr>
      </xdr:nvPicPr>
      <xdr:blipFill>
        <a:blip r:embed="rId5">
          <a:lum/>
        </a:blip>
        <a:srcRect l="7410" r="4729"/>
        <a:stretch>
          <a:fillRect/>
        </a:stretch>
      </xdr:blipFill>
      <xdr:spPr>
        <a:xfrm>
          <a:off x="161925" y="57448450"/>
          <a:ext cx="1457325" cy="128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87630</xdr:colOff>
      <xdr:row>123</xdr:row>
      <xdr:rowOff>53340</xdr:rowOff>
    </xdr:from>
    <xdr:to>
      <xdr:col>0</xdr:col>
      <xdr:colOff>1499235</xdr:colOff>
      <xdr:row>124</xdr:row>
      <xdr:rowOff>672465</xdr:rowOff>
    </xdr:to>
    <xdr:pic>
      <xdr:nvPicPr>
        <xdr:cNvPr id="2112" name="图片 65"/>
        <xdr:cNvPicPr>
          <a:picLocks noChangeAspect="1"/>
        </xdr:cNvPicPr>
      </xdr:nvPicPr>
      <xdr:blipFill>
        <a:blip r:embed="rId6">
          <a:lum/>
        </a:blip>
        <a:stretch>
          <a:fillRect/>
        </a:stretch>
      </xdr:blipFill>
      <xdr:spPr>
        <a:xfrm>
          <a:off x="87630" y="76748640"/>
          <a:ext cx="1411605" cy="1317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102870</xdr:colOff>
      <xdr:row>149</xdr:row>
      <xdr:rowOff>32385</xdr:rowOff>
    </xdr:from>
    <xdr:to>
      <xdr:col>0</xdr:col>
      <xdr:colOff>1513205</xdr:colOff>
      <xdr:row>150</xdr:row>
      <xdr:rowOff>676275</xdr:rowOff>
    </xdr:to>
    <xdr:pic>
      <xdr:nvPicPr>
        <xdr:cNvPr id="2117" name="图片 70"/>
        <xdr:cNvPicPr>
          <a:picLocks noChangeAspect="1"/>
        </xdr:cNvPicPr>
      </xdr:nvPicPr>
      <xdr:blipFill>
        <a:blip r:embed="rId7">
          <a:lum/>
        </a:blip>
        <a:stretch>
          <a:fillRect/>
        </a:stretch>
      </xdr:blipFill>
      <xdr:spPr>
        <a:xfrm>
          <a:off x="102870" y="95409385"/>
          <a:ext cx="1410335" cy="1380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0</xdr:colOff>
      <xdr:row>37</xdr:row>
      <xdr:rowOff>73025</xdr:rowOff>
    </xdr:from>
    <xdr:to>
      <xdr:col>11</xdr:col>
      <xdr:colOff>637540</xdr:colOff>
      <xdr:row>39</xdr:row>
      <xdr:rowOff>441325</xdr:rowOff>
    </xdr:to>
    <xdr:pic>
      <xdr:nvPicPr>
        <xdr:cNvPr id="2050" name="图片 3"/>
        <xdr:cNvPicPr>
          <a:picLocks noChangeAspect="1"/>
        </xdr:cNvPicPr>
      </xdr:nvPicPr>
      <xdr:blipFill>
        <a:blip r:embed="rId8">
          <a:lum/>
        </a:blip>
        <a:stretch>
          <a:fillRect/>
        </a:stretch>
      </xdr:blipFill>
      <xdr:spPr>
        <a:xfrm>
          <a:off x="11877040" y="27454225"/>
          <a:ext cx="1323340" cy="1282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0</xdr:colOff>
      <xdr:row>151</xdr:row>
      <xdr:rowOff>83820</xdr:rowOff>
    </xdr:from>
    <xdr:to>
      <xdr:col>12</xdr:col>
      <xdr:colOff>85725</xdr:colOff>
      <xdr:row>154</xdr:row>
      <xdr:rowOff>169545</xdr:rowOff>
    </xdr:to>
    <xdr:pic>
      <xdr:nvPicPr>
        <xdr:cNvPr id="2055" name="图片 8"/>
        <xdr:cNvPicPr>
          <a:picLocks noChangeAspect="1"/>
        </xdr:cNvPicPr>
      </xdr:nvPicPr>
      <xdr:blipFill>
        <a:blip r:embed="rId9">
          <a:lum/>
        </a:blip>
        <a:stretch>
          <a:fillRect/>
        </a:stretch>
      </xdr:blipFill>
      <xdr:spPr>
        <a:xfrm>
          <a:off x="11877040" y="96934020"/>
          <a:ext cx="1457325" cy="1228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104775</xdr:colOff>
      <xdr:row>37</xdr:row>
      <xdr:rowOff>38100</xdr:rowOff>
    </xdr:from>
    <xdr:to>
      <xdr:col>0</xdr:col>
      <xdr:colOff>1457325</xdr:colOff>
      <xdr:row>39</xdr:row>
      <xdr:rowOff>358775</xdr:rowOff>
    </xdr:to>
    <xdr:pic>
      <xdr:nvPicPr>
        <xdr:cNvPr id="2121" name="图片 74"/>
        <xdr:cNvPicPr>
          <a:picLocks noChangeAspect="1"/>
        </xdr:cNvPicPr>
      </xdr:nvPicPr>
      <xdr:blipFill>
        <a:blip r:embed="rId10">
          <a:lum/>
        </a:blip>
        <a:srcRect l="7491" r="10399" b="-182"/>
        <a:stretch>
          <a:fillRect/>
        </a:stretch>
      </xdr:blipFill>
      <xdr:spPr>
        <a:xfrm>
          <a:off x="104775" y="27419300"/>
          <a:ext cx="1352550" cy="1235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130810</xdr:colOff>
      <xdr:row>5</xdr:row>
      <xdr:rowOff>61595</xdr:rowOff>
    </xdr:from>
    <xdr:to>
      <xdr:col>0</xdr:col>
      <xdr:colOff>1550670</xdr:colOff>
      <xdr:row>6</xdr:row>
      <xdr:rowOff>682625</xdr:rowOff>
    </xdr:to>
    <xdr:pic>
      <xdr:nvPicPr>
        <xdr:cNvPr id="2060" name="图片 13"/>
        <xdr:cNvPicPr>
          <a:picLocks noChangeAspect="1"/>
        </xdr:cNvPicPr>
      </xdr:nvPicPr>
      <xdr:blipFill>
        <a:blip r:embed="rId11">
          <a:lum/>
        </a:blip>
        <a:stretch>
          <a:fillRect/>
        </a:stretch>
      </xdr:blipFill>
      <xdr:spPr>
        <a:xfrm>
          <a:off x="130810" y="4455795"/>
          <a:ext cx="1419860" cy="1344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0</xdr:colOff>
      <xdr:row>21</xdr:row>
      <xdr:rowOff>38735</xdr:rowOff>
    </xdr:from>
    <xdr:to>
      <xdr:col>12</xdr:col>
      <xdr:colOff>74295</xdr:colOff>
      <xdr:row>25</xdr:row>
      <xdr:rowOff>28575</xdr:rowOff>
    </xdr:to>
    <xdr:pic>
      <xdr:nvPicPr>
        <xdr:cNvPr id="2128" name="图片 81"/>
        <xdr:cNvPicPr>
          <a:picLocks noChangeAspect="1"/>
        </xdr:cNvPicPr>
      </xdr:nvPicPr>
      <xdr:blipFill>
        <a:blip r:embed="rId12">
          <a:lum/>
        </a:blip>
        <a:stretch>
          <a:fillRect/>
        </a:stretch>
      </xdr:blipFill>
      <xdr:spPr>
        <a:xfrm>
          <a:off x="11877040" y="17209135"/>
          <a:ext cx="1445895" cy="1209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104775</xdr:colOff>
      <xdr:row>7</xdr:row>
      <xdr:rowOff>47625</xdr:rowOff>
    </xdr:from>
    <xdr:to>
      <xdr:col>0</xdr:col>
      <xdr:colOff>1614170</xdr:colOff>
      <xdr:row>10</xdr:row>
      <xdr:rowOff>248285</xdr:rowOff>
    </xdr:to>
    <xdr:pic>
      <xdr:nvPicPr>
        <xdr:cNvPr id="2087" name="图片 40"/>
        <xdr:cNvPicPr>
          <a:picLocks noChangeAspect="1"/>
        </xdr:cNvPicPr>
      </xdr:nvPicPr>
      <xdr:blipFill>
        <a:blip r:embed="rId13">
          <a:lum/>
        </a:blip>
        <a:stretch>
          <a:fillRect/>
        </a:stretch>
      </xdr:blipFill>
      <xdr:spPr>
        <a:xfrm>
          <a:off x="104775" y="5889625"/>
          <a:ext cx="1509395" cy="1267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85725</xdr:colOff>
      <xdr:row>18</xdr:row>
      <xdr:rowOff>38100</xdr:rowOff>
    </xdr:from>
    <xdr:to>
      <xdr:col>0</xdr:col>
      <xdr:colOff>1543050</xdr:colOff>
      <xdr:row>18</xdr:row>
      <xdr:rowOff>1333500</xdr:rowOff>
    </xdr:to>
    <xdr:pic>
      <xdr:nvPicPr>
        <xdr:cNvPr id="2063" name="图片 16"/>
        <xdr:cNvPicPr>
          <a:picLocks noChangeAspect="1"/>
        </xdr:cNvPicPr>
      </xdr:nvPicPr>
      <xdr:blipFill>
        <a:blip r:embed="rId14">
          <a:lum/>
        </a:blip>
        <a:stretch>
          <a:fillRect/>
        </a:stretch>
      </xdr:blipFill>
      <xdr:spPr>
        <a:xfrm>
          <a:off x="85725" y="14490700"/>
          <a:ext cx="145732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100330</xdr:colOff>
      <xdr:row>12</xdr:row>
      <xdr:rowOff>28575</xdr:rowOff>
    </xdr:from>
    <xdr:to>
      <xdr:col>0</xdr:col>
      <xdr:colOff>1557655</xdr:colOff>
      <xdr:row>13</xdr:row>
      <xdr:rowOff>590550</xdr:rowOff>
    </xdr:to>
    <xdr:pic>
      <xdr:nvPicPr>
        <xdr:cNvPr id="2096" name="图片 49"/>
        <xdr:cNvPicPr>
          <a:picLocks noChangeAspect="1"/>
        </xdr:cNvPicPr>
      </xdr:nvPicPr>
      <xdr:blipFill>
        <a:blip r:embed="rId15">
          <a:lum/>
        </a:blip>
        <a:stretch>
          <a:fillRect/>
        </a:stretch>
      </xdr:blipFill>
      <xdr:spPr>
        <a:xfrm>
          <a:off x="100330" y="8715375"/>
          <a:ext cx="1457325" cy="1323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142875</xdr:colOff>
      <xdr:row>19</xdr:row>
      <xdr:rowOff>66675</xdr:rowOff>
    </xdr:from>
    <xdr:to>
      <xdr:col>0</xdr:col>
      <xdr:colOff>1514475</xdr:colOff>
      <xdr:row>20</xdr:row>
      <xdr:rowOff>638175</xdr:rowOff>
    </xdr:to>
    <xdr:pic>
      <xdr:nvPicPr>
        <xdr:cNvPr id="2102" name="图片 55"/>
        <xdr:cNvPicPr>
          <a:picLocks noChangeAspect="1"/>
        </xdr:cNvPicPr>
      </xdr:nvPicPr>
      <xdr:blipFill>
        <a:blip r:embed="rId16">
          <a:lum/>
        </a:blip>
        <a:stretch>
          <a:fillRect/>
        </a:stretch>
      </xdr:blipFill>
      <xdr:spPr>
        <a:xfrm>
          <a:off x="142875" y="15916275"/>
          <a:ext cx="1371600" cy="1193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171450</xdr:colOff>
      <xdr:row>68</xdr:row>
      <xdr:rowOff>28575</xdr:rowOff>
    </xdr:from>
    <xdr:to>
      <xdr:col>0</xdr:col>
      <xdr:colOff>1524000</xdr:colOff>
      <xdr:row>69</xdr:row>
      <xdr:rowOff>708025</xdr:rowOff>
    </xdr:to>
    <xdr:pic>
      <xdr:nvPicPr>
        <xdr:cNvPr id="2104" name="图片 57"/>
        <xdr:cNvPicPr>
          <a:picLocks noChangeAspect="1"/>
        </xdr:cNvPicPr>
      </xdr:nvPicPr>
      <xdr:blipFill>
        <a:blip r:embed="rId17">
          <a:lum/>
        </a:blip>
        <a:stretch>
          <a:fillRect/>
        </a:stretch>
      </xdr:blipFill>
      <xdr:spPr>
        <a:xfrm>
          <a:off x="171450" y="46688375"/>
          <a:ext cx="1352550" cy="1352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200025</xdr:colOff>
      <xdr:row>100</xdr:row>
      <xdr:rowOff>19050</xdr:rowOff>
    </xdr:from>
    <xdr:to>
      <xdr:col>0</xdr:col>
      <xdr:colOff>1638300</xdr:colOff>
      <xdr:row>101</xdr:row>
      <xdr:rowOff>704850</xdr:rowOff>
    </xdr:to>
    <xdr:pic>
      <xdr:nvPicPr>
        <xdr:cNvPr id="2114" name="图片 67"/>
        <xdr:cNvPicPr>
          <a:picLocks noChangeAspect="1"/>
        </xdr:cNvPicPr>
      </xdr:nvPicPr>
      <xdr:blipFill>
        <a:blip r:embed="rId18">
          <a:lum/>
        </a:blip>
        <a:stretch>
          <a:fillRect/>
        </a:stretch>
      </xdr:blipFill>
      <xdr:spPr>
        <a:xfrm>
          <a:off x="200025" y="61918850"/>
          <a:ext cx="1438275" cy="1447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104775</xdr:colOff>
      <xdr:row>104</xdr:row>
      <xdr:rowOff>28575</xdr:rowOff>
    </xdr:from>
    <xdr:to>
      <xdr:col>0</xdr:col>
      <xdr:colOff>1552575</xdr:colOff>
      <xdr:row>105</xdr:row>
      <xdr:rowOff>714375</xdr:rowOff>
    </xdr:to>
    <xdr:pic>
      <xdr:nvPicPr>
        <xdr:cNvPr id="2115" name="图片 68"/>
        <xdr:cNvPicPr>
          <a:picLocks noChangeAspect="1"/>
        </xdr:cNvPicPr>
      </xdr:nvPicPr>
      <xdr:blipFill>
        <a:blip r:embed="rId19">
          <a:lum/>
        </a:blip>
        <a:stretch>
          <a:fillRect/>
        </a:stretch>
      </xdr:blipFill>
      <xdr:spPr>
        <a:xfrm>
          <a:off x="104775" y="64849375"/>
          <a:ext cx="1447800" cy="1447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107315</xdr:colOff>
      <xdr:row>136</xdr:row>
      <xdr:rowOff>33020</xdr:rowOff>
    </xdr:from>
    <xdr:to>
      <xdr:col>0</xdr:col>
      <xdr:colOff>1574165</xdr:colOff>
      <xdr:row>138</xdr:row>
      <xdr:rowOff>404495</xdr:rowOff>
    </xdr:to>
    <xdr:pic>
      <xdr:nvPicPr>
        <xdr:cNvPr id="2116" name="图片 69"/>
        <xdr:cNvPicPr>
          <a:picLocks noChangeAspect="1"/>
        </xdr:cNvPicPr>
      </xdr:nvPicPr>
      <xdr:blipFill>
        <a:blip r:embed="rId20">
          <a:lum/>
        </a:blip>
        <a:stretch>
          <a:fillRect/>
        </a:stretch>
      </xdr:blipFill>
      <xdr:spPr>
        <a:xfrm>
          <a:off x="107315" y="86672420"/>
          <a:ext cx="1466850" cy="1438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638175</xdr:colOff>
      <xdr:row>0</xdr:row>
      <xdr:rowOff>142875</xdr:rowOff>
    </xdr:from>
    <xdr:to>
      <xdr:col>0</xdr:col>
      <xdr:colOff>1609725</xdr:colOff>
      <xdr:row>0</xdr:row>
      <xdr:rowOff>885825</xdr:rowOff>
    </xdr:to>
    <xdr:pic>
      <xdr:nvPicPr>
        <xdr:cNvPr id="2061" name="图片 14"/>
        <xdr:cNvPicPr>
          <a:picLocks noChangeAspect="1"/>
        </xdr:cNvPicPr>
      </xdr:nvPicPr>
      <xdr:blipFill>
        <a:blip r:embed="rId21">
          <a:lum/>
        </a:blip>
        <a:stretch>
          <a:fillRect/>
        </a:stretch>
      </xdr:blipFill>
      <xdr:spPr>
        <a:xfrm>
          <a:off x="638175" y="142875"/>
          <a:ext cx="971550" cy="742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1941830</xdr:colOff>
      <xdr:row>0</xdr:row>
      <xdr:rowOff>90805</xdr:rowOff>
    </xdr:from>
    <xdr:to>
      <xdr:col>9</xdr:col>
      <xdr:colOff>1213485</xdr:colOff>
      <xdr:row>0</xdr:row>
      <xdr:rowOff>1043305</xdr:rowOff>
    </xdr:to>
    <xdr:pic>
      <xdr:nvPicPr>
        <xdr:cNvPr id="2098" name="图片 51"/>
        <xdr:cNvPicPr>
          <a:picLocks noChangeAspect="1"/>
        </xdr:cNvPicPr>
      </xdr:nvPicPr>
      <xdr:blipFill>
        <a:blip r:embed="rId22">
          <a:lum/>
        </a:blip>
        <a:stretch>
          <a:fillRect/>
        </a:stretch>
      </xdr:blipFill>
      <xdr:spPr>
        <a:xfrm>
          <a:off x="10556875" y="90805"/>
          <a:ext cx="1266825" cy="952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106680</xdr:colOff>
      <xdr:row>0</xdr:row>
      <xdr:rowOff>159385</xdr:rowOff>
    </xdr:from>
    <xdr:to>
      <xdr:col>8</xdr:col>
      <xdr:colOff>300990</xdr:colOff>
      <xdr:row>0</xdr:row>
      <xdr:rowOff>807085</xdr:rowOff>
    </xdr:to>
    <xdr:pic>
      <xdr:nvPicPr>
        <xdr:cNvPr id="2105" name="图片 58"/>
        <xdr:cNvPicPr>
          <a:picLocks noChangeAspect="1"/>
        </xdr:cNvPicPr>
      </xdr:nvPicPr>
      <xdr:blipFill>
        <a:blip r:embed="rId23">
          <a:lum/>
        </a:blip>
        <a:srcRect t="11195" b="19200"/>
        <a:stretch>
          <a:fillRect/>
        </a:stretch>
      </xdr:blipFill>
      <xdr:spPr>
        <a:xfrm>
          <a:off x="7430135" y="159385"/>
          <a:ext cx="1485900" cy="647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457200</xdr:colOff>
      <xdr:row>0</xdr:row>
      <xdr:rowOff>182880</xdr:rowOff>
    </xdr:from>
    <xdr:to>
      <xdr:col>9</xdr:col>
      <xdr:colOff>119380</xdr:colOff>
      <xdr:row>0</xdr:row>
      <xdr:rowOff>973455</xdr:rowOff>
    </xdr:to>
    <xdr:pic>
      <xdr:nvPicPr>
        <xdr:cNvPr id="2120" name="图片 73"/>
        <xdr:cNvPicPr>
          <a:picLocks noChangeAspect="1"/>
        </xdr:cNvPicPr>
      </xdr:nvPicPr>
      <xdr:blipFill>
        <a:blip r:embed="rId24">
          <a:lum/>
        </a:blip>
        <a:srcRect t="29128"/>
        <a:stretch>
          <a:fillRect/>
        </a:stretch>
      </xdr:blipFill>
      <xdr:spPr>
        <a:xfrm>
          <a:off x="9072245" y="182880"/>
          <a:ext cx="1657350" cy="790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388620</xdr:colOff>
      <xdr:row>0</xdr:row>
      <xdr:rowOff>102870</xdr:rowOff>
    </xdr:from>
    <xdr:to>
      <xdr:col>4</xdr:col>
      <xdr:colOff>741045</xdr:colOff>
      <xdr:row>0</xdr:row>
      <xdr:rowOff>1026795</xdr:rowOff>
    </xdr:to>
    <xdr:pic>
      <xdr:nvPicPr>
        <xdr:cNvPr id="2122" name="图片 75"/>
        <xdr:cNvPicPr>
          <a:picLocks noChangeAspect="1"/>
        </xdr:cNvPicPr>
      </xdr:nvPicPr>
      <xdr:blipFill>
        <a:blip r:embed="rId25">
          <a:lum/>
        </a:blip>
        <a:srcRect t="11259" b="5814"/>
        <a:stretch>
          <a:fillRect/>
        </a:stretch>
      </xdr:blipFill>
      <xdr:spPr>
        <a:xfrm>
          <a:off x="4495800" y="102870"/>
          <a:ext cx="1085850" cy="923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121920</xdr:colOff>
      <xdr:row>15</xdr:row>
      <xdr:rowOff>31750</xdr:rowOff>
    </xdr:from>
    <xdr:to>
      <xdr:col>0</xdr:col>
      <xdr:colOff>1566545</xdr:colOff>
      <xdr:row>15</xdr:row>
      <xdr:rowOff>1355090</xdr:rowOff>
    </xdr:to>
    <xdr:pic>
      <xdr:nvPicPr>
        <xdr:cNvPr id="2078" name="图片 31"/>
        <xdr:cNvPicPr>
          <a:picLocks noChangeAspect="1"/>
        </xdr:cNvPicPr>
      </xdr:nvPicPr>
      <xdr:blipFill>
        <a:blip r:embed="rId26">
          <a:lum/>
        </a:blip>
        <a:stretch>
          <a:fillRect/>
        </a:stretch>
      </xdr:blipFill>
      <xdr:spPr>
        <a:xfrm>
          <a:off x="121920" y="11487150"/>
          <a:ext cx="1444625" cy="1323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177800</xdr:colOff>
      <xdr:row>14</xdr:row>
      <xdr:rowOff>45720</xdr:rowOff>
    </xdr:from>
    <xdr:to>
      <xdr:col>0</xdr:col>
      <xdr:colOff>1463675</xdr:colOff>
      <xdr:row>14</xdr:row>
      <xdr:rowOff>1312545</xdr:rowOff>
    </xdr:to>
    <xdr:pic>
      <xdr:nvPicPr>
        <xdr:cNvPr id="2091" name="图片 44"/>
        <xdr:cNvPicPr>
          <a:picLocks noChangeAspect="1"/>
        </xdr:cNvPicPr>
      </xdr:nvPicPr>
      <xdr:blipFill>
        <a:blip r:embed="rId27">
          <a:lum/>
        </a:blip>
        <a:stretch>
          <a:fillRect/>
        </a:stretch>
      </xdr:blipFill>
      <xdr:spPr>
        <a:xfrm>
          <a:off x="177800" y="10154920"/>
          <a:ext cx="1285875" cy="1266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219075</xdr:colOff>
      <xdr:row>0</xdr:row>
      <xdr:rowOff>38735</xdr:rowOff>
    </xdr:from>
    <xdr:to>
      <xdr:col>1</xdr:col>
      <xdr:colOff>1285875</xdr:colOff>
      <xdr:row>0</xdr:row>
      <xdr:rowOff>1067435</xdr:rowOff>
    </xdr:to>
    <xdr:pic>
      <xdr:nvPicPr>
        <xdr:cNvPr id="2049" name="图片 2"/>
        <xdr:cNvPicPr>
          <a:picLocks noChangeAspect="1"/>
        </xdr:cNvPicPr>
      </xdr:nvPicPr>
      <xdr:blipFill>
        <a:blip r:embed="rId28">
          <a:lum/>
        </a:blip>
        <a:stretch>
          <a:fillRect/>
        </a:stretch>
      </xdr:blipFill>
      <xdr:spPr>
        <a:xfrm>
          <a:off x="1875155" y="38735"/>
          <a:ext cx="1066800" cy="1028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316865</xdr:colOff>
      <xdr:row>0</xdr:row>
      <xdr:rowOff>95250</xdr:rowOff>
    </xdr:from>
    <xdr:to>
      <xdr:col>6</xdr:col>
      <xdr:colOff>671195</xdr:colOff>
      <xdr:row>0</xdr:row>
      <xdr:rowOff>1009650</xdr:rowOff>
    </xdr:to>
    <xdr:pic>
      <xdr:nvPicPr>
        <xdr:cNvPr id="2067" name="图片 20"/>
        <xdr:cNvPicPr>
          <a:picLocks noChangeAspect="1"/>
        </xdr:cNvPicPr>
      </xdr:nvPicPr>
      <xdr:blipFill>
        <a:blip r:embed="rId29">
          <a:lum/>
        </a:blip>
        <a:stretch>
          <a:fillRect/>
        </a:stretch>
      </xdr:blipFill>
      <xdr:spPr>
        <a:xfrm>
          <a:off x="6101080" y="95250"/>
          <a:ext cx="933450" cy="914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114300</xdr:colOff>
      <xdr:row>126</xdr:row>
      <xdr:rowOff>46355</xdr:rowOff>
    </xdr:from>
    <xdr:to>
      <xdr:col>0</xdr:col>
      <xdr:colOff>1400175</xdr:colOff>
      <xdr:row>126</xdr:row>
      <xdr:rowOff>1303655</xdr:rowOff>
    </xdr:to>
    <xdr:pic>
      <xdr:nvPicPr>
        <xdr:cNvPr id="1029" name="图片 69"/>
        <xdr:cNvPicPr>
          <a:picLocks noChangeAspect="1"/>
        </xdr:cNvPicPr>
      </xdr:nvPicPr>
      <xdr:blipFill>
        <a:blip r:embed="rId30">
          <a:lum/>
        </a:blip>
        <a:stretch>
          <a:fillRect/>
        </a:stretch>
      </xdr:blipFill>
      <xdr:spPr>
        <a:xfrm>
          <a:off x="114300" y="79573755"/>
          <a:ext cx="1285875" cy="1257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180975</xdr:colOff>
      <xdr:row>26</xdr:row>
      <xdr:rowOff>28575</xdr:rowOff>
    </xdr:from>
    <xdr:to>
      <xdr:col>0</xdr:col>
      <xdr:colOff>1486535</xdr:colOff>
      <xdr:row>26</xdr:row>
      <xdr:rowOff>1299210</xdr:rowOff>
    </xdr:to>
    <xdr:pic>
      <xdr:nvPicPr>
        <xdr:cNvPr id="1035" name="图片 11"/>
        <xdr:cNvPicPr>
          <a:picLocks noChangeAspect="1"/>
        </xdr:cNvPicPr>
      </xdr:nvPicPr>
      <xdr:blipFill>
        <a:blip r:embed="rId31">
          <a:lum/>
        </a:blip>
        <a:stretch>
          <a:fillRect/>
        </a:stretch>
      </xdr:blipFill>
      <xdr:spPr>
        <a:xfrm>
          <a:off x="180975" y="18722975"/>
          <a:ext cx="1305560" cy="1270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0</xdr:colOff>
      <xdr:row>26</xdr:row>
      <xdr:rowOff>16510</xdr:rowOff>
    </xdr:from>
    <xdr:to>
      <xdr:col>11</xdr:col>
      <xdr:colOff>580390</xdr:colOff>
      <xdr:row>26</xdr:row>
      <xdr:rowOff>1282700</xdr:rowOff>
    </xdr:to>
    <xdr:pic>
      <xdr:nvPicPr>
        <xdr:cNvPr id="1036" name="图片 12"/>
        <xdr:cNvPicPr>
          <a:picLocks noChangeAspect="1"/>
        </xdr:cNvPicPr>
      </xdr:nvPicPr>
      <xdr:blipFill>
        <a:blip r:embed="rId32">
          <a:lum/>
        </a:blip>
        <a:stretch>
          <a:fillRect/>
        </a:stretch>
      </xdr:blipFill>
      <xdr:spPr>
        <a:xfrm>
          <a:off x="11877040" y="18710910"/>
          <a:ext cx="1266190" cy="1266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133350</xdr:colOff>
      <xdr:row>155</xdr:row>
      <xdr:rowOff>66675</xdr:rowOff>
    </xdr:from>
    <xdr:to>
      <xdr:col>0</xdr:col>
      <xdr:colOff>1495425</xdr:colOff>
      <xdr:row>156</xdr:row>
      <xdr:rowOff>590550</xdr:rowOff>
    </xdr:to>
    <xdr:pic>
      <xdr:nvPicPr>
        <xdr:cNvPr id="1040" name="图片 85" descr="1719118613195"/>
        <xdr:cNvPicPr>
          <a:picLocks noChangeAspect="1"/>
        </xdr:cNvPicPr>
      </xdr:nvPicPr>
      <xdr:blipFill>
        <a:blip r:embed="rId33">
          <a:lum/>
        </a:blip>
        <a:stretch>
          <a:fillRect/>
        </a:stretch>
      </xdr:blipFill>
      <xdr:spPr>
        <a:xfrm>
          <a:off x="133350" y="98440875"/>
          <a:ext cx="1362075" cy="1196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152400</xdr:colOff>
      <xdr:row>106</xdr:row>
      <xdr:rowOff>133350</xdr:rowOff>
    </xdr:from>
    <xdr:to>
      <xdr:col>0</xdr:col>
      <xdr:colOff>1609725</xdr:colOff>
      <xdr:row>107</xdr:row>
      <xdr:rowOff>657225</xdr:rowOff>
    </xdr:to>
    <xdr:pic>
      <xdr:nvPicPr>
        <xdr:cNvPr id="1041" name="图片 85" descr="1719118613195"/>
        <xdr:cNvPicPr>
          <a:picLocks noChangeAspect="1"/>
        </xdr:cNvPicPr>
      </xdr:nvPicPr>
      <xdr:blipFill>
        <a:blip r:embed="rId34">
          <a:lum/>
        </a:blip>
        <a:stretch>
          <a:fillRect/>
        </a:stretch>
      </xdr:blipFill>
      <xdr:spPr>
        <a:xfrm>
          <a:off x="152400" y="66478150"/>
          <a:ext cx="1457325" cy="1273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103505</xdr:colOff>
      <xdr:row>59</xdr:row>
      <xdr:rowOff>31750</xdr:rowOff>
    </xdr:from>
    <xdr:to>
      <xdr:col>0</xdr:col>
      <xdr:colOff>1560830</xdr:colOff>
      <xdr:row>59</xdr:row>
      <xdr:rowOff>1308100</xdr:rowOff>
    </xdr:to>
    <xdr:pic>
      <xdr:nvPicPr>
        <xdr:cNvPr id="1042" name="图片 85" descr="1719118613195"/>
        <xdr:cNvPicPr>
          <a:picLocks noChangeAspect="1"/>
        </xdr:cNvPicPr>
      </xdr:nvPicPr>
      <xdr:blipFill>
        <a:blip r:embed="rId35">
          <a:lum/>
        </a:blip>
        <a:stretch>
          <a:fillRect/>
        </a:stretch>
      </xdr:blipFill>
      <xdr:spPr>
        <a:xfrm>
          <a:off x="103505" y="38080950"/>
          <a:ext cx="1457325" cy="1276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67945</xdr:colOff>
      <xdr:row>11</xdr:row>
      <xdr:rowOff>36195</xdr:rowOff>
    </xdr:from>
    <xdr:to>
      <xdr:col>0</xdr:col>
      <xdr:colOff>1576705</xdr:colOff>
      <xdr:row>11</xdr:row>
      <xdr:rowOff>1357630</xdr:rowOff>
    </xdr:to>
    <xdr:pic>
      <xdr:nvPicPr>
        <xdr:cNvPr id="1043" name="图片 85" descr="1719118613195"/>
        <xdr:cNvPicPr>
          <a:picLocks noChangeAspect="1"/>
        </xdr:cNvPicPr>
      </xdr:nvPicPr>
      <xdr:blipFill>
        <a:blip r:embed="rId35">
          <a:lum/>
        </a:blip>
        <a:stretch>
          <a:fillRect/>
        </a:stretch>
      </xdr:blipFill>
      <xdr:spPr>
        <a:xfrm>
          <a:off x="67945" y="7300595"/>
          <a:ext cx="1508760" cy="1321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180975</xdr:colOff>
      <xdr:row>90</xdr:row>
      <xdr:rowOff>57150</xdr:rowOff>
    </xdr:from>
    <xdr:to>
      <xdr:col>0</xdr:col>
      <xdr:colOff>1638300</xdr:colOff>
      <xdr:row>92</xdr:row>
      <xdr:rowOff>447675</xdr:rowOff>
    </xdr:to>
    <xdr:pic>
      <xdr:nvPicPr>
        <xdr:cNvPr id="1045" name="图片 21"/>
        <xdr:cNvPicPr>
          <a:picLocks noChangeAspect="1"/>
        </xdr:cNvPicPr>
      </xdr:nvPicPr>
      <xdr:blipFill>
        <a:blip r:embed="rId36">
          <a:lum/>
        </a:blip>
        <a:stretch>
          <a:fillRect/>
        </a:stretch>
      </xdr:blipFill>
      <xdr:spPr>
        <a:xfrm>
          <a:off x="180975" y="55848250"/>
          <a:ext cx="1457325" cy="1457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143510</xdr:colOff>
      <xdr:row>82</xdr:row>
      <xdr:rowOff>30480</xdr:rowOff>
    </xdr:from>
    <xdr:to>
      <xdr:col>0</xdr:col>
      <xdr:colOff>1600835</xdr:colOff>
      <xdr:row>84</xdr:row>
      <xdr:rowOff>449580</xdr:rowOff>
    </xdr:to>
    <xdr:pic>
      <xdr:nvPicPr>
        <xdr:cNvPr id="1046" name="图片 22"/>
        <xdr:cNvPicPr>
          <a:picLocks noChangeAspect="1"/>
        </xdr:cNvPicPr>
      </xdr:nvPicPr>
      <xdr:blipFill>
        <a:blip r:embed="rId37">
          <a:lum/>
        </a:blip>
        <a:stretch>
          <a:fillRect/>
        </a:stretch>
      </xdr:blipFill>
      <xdr:spPr>
        <a:xfrm>
          <a:off x="143510" y="52392580"/>
          <a:ext cx="1457325" cy="1447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0</xdr:colOff>
      <xdr:row>113</xdr:row>
      <xdr:rowOff>31750</xdr:rowOff>
    </xdr:from>
    <xdr:to>
      <xdr:col>12</xdr:col>
      <xdr:colOff>85725</xdr:colOff>
      <xdr:row>117</xdr:row>
      <xdr:rowOff>149225</xdr:rowOff>
    </xdr:to>
    <xdr:pic>
      <xdr:nvPicPr>
        <xdr:cNvPr id="1048" name="图片 24"/>
        <xdr:cNvPicPr>
          <a:picLocks noChangeAspect="1"/>
        </xdr:cNvPicPr>
      </xdr:nvPicPr>
      <xdr:blipFill>
        <a:blip r:embed="rId38">
          <a:lum/>
        </a:blip>
        <a:stretch>
          <a:fillRect/>
        </a:stretch>
      </xdr:blipFill>
      <xdr:spPr>
        <a:xfrm>
          <a:off x="11877040" y="72180450"/>
          <a:ext cx="1457325" cy="1438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171450</xdr:colOff>
      <xdr:row>70</xdr:row>
      <xdr:rowOff>66675</xdr:rowOff>
    </xdr:from>
    <xdr:to>
      <xdr:col>0</xdr:col>
      <xdr:colOff>1533525</xdr:colOff>
      <xdr:row>73</xdr:row>
      <xdr:rowOff>238125</xdr:rowOff>
    </xdr:to>
    <xdr:pic>
      <xdr:nvPicPr>
        <xdr:cNvPr id="1049" name="图片 25"/>
        <xdr:cNvPicPr>
          <a:picLocks noChangeAspect="1"/>
        </xdr:cNvPicPr>
      </xdr:nvPicPr>
      <xdr:blipFill>
        <a:blip r:embed="rId39">
          <a:lum/>
        </a:blip>
        <a:stretch>
          <a:fillRect/>
        </a:stretch>
      </xdr:blipFill>
      <xdr:spPr>
        <a:xfrm>
          <a:off x="171450" y="48148875"/>
          <a:ext cx="1362075" cy="1352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171450</xdr:colOff>
      <xdr:row>77</xdr:row>
      <xdr:rowOff>47625</xdr:rowOff>
    </xdr:from>
    <xdr:to>
      <xdr:col>0</xdr:col>
      <xdr:colOff>1607185</xdr:colOff>
      <xdr:row>81</xdr:row>
      <xdr:rowOff>222250</xdr:rowOff>
    </xdr:to>
    <xdr:pic>
      <xdr:nvPicPr>
        <xdr:cNvPr id="1051" name="图片 27"/>
        <xdr:cNvPicPr>
          <a:picLocks noChangeAspect="1"/>
        </xdr:cNvPicPr>
      </xdr:nvPicPr>
      <xdr:blipFill>
        <a:blip r:embed="rId40">
          <a:lum/>
        </a:blip>
        <a:stretch>
          <a:fillRect/>
        </a:stretch>
      </xdr:blipFill>
      <xdr:spPr>
        <a:xfrm>
          <a:off x="171450" y="50885725"/>
          <a:ext cx="1435735" cy="1393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200025</xdr:colOff>
      <xdr:row>98</xdr:row>
      <xdr:rowOff>19050</xdr:rowOff>
    </xdr:from>
    <xdr:to>
      <xdr:col>0</xdr:col>
      <xdr:colOff>1647825</xdr:colOff>
      <xdr:row>99</xdr:row>
      <xdr:rowOff>733425</xdr:rowOff>
    </xdr:to>
    <xdr:pic>
      <xdr:nvPicPr>
        <xdr:cNvPr id="1053" name="图片 29"/>
        <xdr:cNvPicPr>
          <a:picLocks noChangeAspect="1"/>
        </xdr:cNvPicPr>
      </xdr:nvPicPr>
      <xdr:blipFill>
        <a:blip r:embed="rId41">
          <a:lum/>
        </a:blip>
        <a:stretch>
          <a:fillRect/>
        </a:stretch>
      </xdr:blipFill>
      <xdr:spPr>
        <a:xfrm>
          <a:off x="200025" y="60369450"/>
          <a:ext cx="1447800" cy="1463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190500</xdr:colOff>
      <xdr:row>96</xdr:row>
      <xdr:rowOff>28575</xdr:rowOff>
    </xdr:from>
    <xdr:to>
      <xdr:col>0</xdr:col>
      <xdr:colOff>1619250</xdr:colOff>
      <xdr:row>97</xdr:row>
      <xdr:rowOff>714375</xdr:rowOff>
    </xdr:to>
    <xdr:pic>
      <xdr:nvPicPr>
        <xdr:cNvPr id="1054" name="图片 28" descr="1649398390(1)"/>
        <xdr:cNvPicPr>
          <a:picLocks noChangeAspect="1"/>
        </xdr:cNvPicPr>
      </xdr:nvPicPr>
      <xdr:blipFill>
        <a:blip r:embed="rId42">
          <a:lum/>
        </a:blip>
        <a:stretch>
          <a:fillRect/>
        </a:stretch>
      </xdr:blipFill>
      <xdr:spPr>
        <a:xfrm>
          <a:off x="190500" y="58867675"/>
          <a:ext cx="1428750" cy="1397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200025</xdr:colOff>
      <xdr:row>27</xdr:row>
      <xdr:rowOff>57150</xdr:rowOff>
    </xdr:from>
    <xdr:to>
      <xdr:col>0</xdr:col>
      <xdr:colOff>1579245</xdr:colOff>
      <xdr:row>28</xdr:row>
      <xdr:rowOff>657225</xdr:rowOff>
    </xdr:to>
    <xdr:pic>
      <xdr:nvPicPr>
        <xdr:cNvPr id="1055" name="图片 48"/>
        <xdr:cNvPicPr>
          <a:picLocks noChangeAspect="1"/>
        </xdr:cNvPicPr>
      </xdr:nvPicPr>
      <xdr:blipFill>
        <a:blip r:embed="rId43">
          <a:lum/>
        </a:blip>
        <a:stretch>
          <a:fillRect/>
        </a:stretch>
      </xdr:blipFill>
      <xdr:spPr>
        <a:xfrm>
          <a:off x="200025" y="20085050"/>
          <a:ext cx="1379220" cy="1311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85090</xdr:colOff>
      <xdr:row>31</xdr:row>
      <xdr:rowOff>53340</xdr:rowOff>
    </xdr:from>
    <xdr:to>
      <xdr:col>0</xdr:col>
      <xdr:colOff>1580515</xdr:colOff>
      <xdr:row>32</xdr:row>
      <xdr:rowOff>702945</xdr:rowOff>
    </xdr:to>
    <xdr:pic>
      <xdr:nvPicPr>
        <xdr:cNvPr id="1058" name="图片 53" descr="a6935823b8f4dd9e2f358182b60ced2"/>
        <xdr:cNvPicPr>
          <a:picLocks noChangeAspect="1"/>
        </xdr:cNvPicPr>
      </xdr:nvPicPr>
      <xdr:blipFill>
        <a:blip r:embed="rId44">
          <a:lum/>
        </a:blip>
        <a:srcRect l="9886" r="8778"/>
        <a:stretch>
          <a:fillRect/>
        </a:stretch>
      </xdr:blipFill>
      <xdr:spPr>
        <a:xfrm>
          <a:off x="85090" y="23027640"/>
          <a:ext cx="1495425" cy="1373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85725</xdr:colOff>
      <xdr:row>40</xdr:row>
      <xdr:rowOff>66675</xdr:rowOff>
    </xdr:from>
    <xdr:to>
      <xdr:col>0</xdr:col>
      <xdr:colOff>1552575</xdr:colOff>
      <xdr:row>43</xdr:row>
      <xdr:rowOff>304800</xdr:rowOff>
    </xdr:to>
    <xdr:pic>
      <xdr:nvPicPr>
        <xdr:cNvPr id="1061" name="图片 37"/>
        <xdr:cNvPicPr>
          <a:picLocks noChangeAspect="1"/>
        </xdr:cNvPicPr>
      </xdr:nvPicPr>
      <xdr:blipFill>
        <a:blip r:embed="rId45">
          <a:lum/>
        </a:blip>
        <a:stretch>
          <a:fillRect/>
        </a:stretch>
      </xdr:blipFill>
      <xdr:spPr>
        <a:xfrm>
          <a:off x="85725" y="28819475"/>
          <a:ext cx="1466850" cy="1457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0</xdr:colOff>
      <xdr:row>40</xdr:row>
      <xdr:rowOff>273685</xdr:rowOff>
    </xdr:from>
    <xdr:to>
      <xdr:col>11</xdr:col>
      <xdr:colOff>638175</xdr:colOff>
      <xdr:row>43</xdr:row>
      <xdr:rowOff>380365</xdr:rowOff>
    </xdr:to>
    <xdr:pic>
      <xdr:nvPicPr>
        <xdr:cNvPr id="1062" name="图片 38"/>
        <xdr:cNvPicPr>
          <a:picLocks noChangeAspect="1"/>
        </xdr:cNvPicPr>
      </xdr:nvPicPr>
      <xdr:blipFill>
        <a:blip r:embed="rId46">
          <a:lum/>
        </a:blip>
        <a:stretch>
          <a:fillRect/>
        </a:stretch>
      </xdr:blipFill>
      <xdr:spPr>
        <a:xfrm>
          <a:off x="11877040" y="29026485"/>
          <a:ext cx="1323975" cy="1325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66675</xdr:colOff>
      <xdr:row>49</xdr:row>
      <xdr:rowOff>200025</xdr:rowOff>
    </xdr:from>
    <xdr:to>
      <xdr:col>0</xdr:col>
      <xdr:colOff>1552575</xdr:colOff>
      <xdr:row>54</xdr:row>
      <xdr:rowOff>257175</xdr:rowOff>
    </xdr:to>
    <xdr:pic>
      <xdr:nvPicPr>
        <xdr:cNvPr id="1063" name="图片 39"/>
        <xdr:cNvPicPr>
          <a:picLocks noChangeAspect="1"/>
        </xdr:cNvPicPr>
      </xdr:nvPicPr>
      <xdr:blipFill>
        <a:blip r:embed="rId47">
          <a:lum/>
        </a:blip>
        <a:stretch>
          <a:fillRect/>
        </a:stretch>
      </xdr:blipFill>
      <xdr:spPr>
        <a:xfrm>
          <a:off x="66675" y="31975425"/>
          <a:ext cx="1485900" cy="1454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123825</xdr:colOff>
      <xdr:row>56</xdr:row>
      <xdr:rowOff>28575</xdr:rowOff>
    </xdr:from>
    <xdr:to>
      <xdr:col>0</xdr:col>
      <xdr:colOff>1581150</xdr:colOff>
      <xdr:row>56</xdr:row>
      <xdr:rowOff>1466850</xdr:rowOff>
    </xdr:to>
    <xdr:pic>
      <xdr:nvPicPr>
        <xdr:cNvPr id="1064" name="图片 40"/>
        <xdr:cNvPicPr>
          <a:picLocks noChangeAspect="1"/>
        </xdr:cNvPicPr>
      </xdr:nvPicPr>
      <xdr:blipFill>
        <a:blip r:embed="rId48">
          <a:lum/>
        </a:blip>
        <a:stretch>
          <a:fillRect/>
        </a:stretch>
      </xdr:blipFill>
      <xdr:spPr>
        <a:xfrm>
          <a:off x="123825" y="34928175"/>
          <a:ext cx="1457325" cy="1438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28575</xdr:colOff>
      <xdr:row>44</xdr:row>
      <xdr:rowOff>47625</xdr:rowOff>
    </xdr:from>
    <xdr:to>
      <xdr:col>0</xdr:col>
      <xdr:colOff>1543050</xdr:colOff>
      <xdr:row>49</xdr:row>
      <xdr:rowOff>152400</xdr:rowOff>
    </xdr:to>
    <xdr:pic>
      <xdr:nvPicPr>
        <xdr:cNvPr id="1026" name="图片 2"/>
        <xdr:cNvPicPr>
          <a:picLocks noChangeAspect="1"/>
        </xdr:cNvPicPr>
      </xdr:nvPicPr>
      <xdr:blipFill>
        <a:blip r:embed="rId49">
          <a:lum/>
        </a:blip>
        <a:stretch>
          <a:fillRect/>
        </a:stretch>
      </xdr:blipFill>
      <xdr:spPr>
        <a:xfrm>
          <a:off x="28575" y="30426025"/>
          <a:ext cx="1514475" cy="1501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0</xdr:colOff>
      <xdr:row>57</xdr:row>
      <xdr:rowOff>36195</xdr:rowOff>
    </xdr:from>
    <xdr:to>
      <xdr:col>12</xdr:col>
      <xdr:colOff>161925</xdr:colOff>
      <xdr:row>58</xdr:row>
      <xdr:rowOff>759460</xdr:rowOff>
    </xdr:to>
    <xdr:pic>
      <xdr:nvPicPr>
        <xdr:cNvPr id="1025" name="图片 1"/>
        <xdr:cNvPicPr>
          <a:picLocks noChangeAspect="1"/>
        </xdr:cNvPicPr>
      </xdr:nvPicPr>
      <xdr:blipFill>
        <a:blip r:embed="rId50">
          <a:lum/>
        </a:blip>
        <a:stretch>
          <a:fillRect/>
        </a:stretch>
      </xdr:blipFill>
      <xdr:spPr>
        <a:xfrm>
          <a:off x="11877040" y="36485195"/>
          <a:ext cx="1533525" cy="1523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158750</xdr:colOff>
      <xdr:row>108</xdr:row>
      <xdr:rowOff>19050</xdr:rowOff>
    </xdr:from>
    <xdr:to>
      <xdr:col>0</xdr:col>
      <xdr:colOff>1590675</xdr:colOff>
      <xdr:row>108</xdr:row>
      <xdr:rowOff>1381125</xdr:rowOff>
    </xdr:to>
    <xdr:pic>
      <xdr:nvPicPr>
        <xdr:cNvPr id="1027" name="图片 3"/>
        <xdr:cNvPicPr>
          <a:picLocks noChangeAspect="1"/>
        </xdr:cNvPicPr>
      </xdr:nvPicPr>
      <xdr:blipFill>
        <a:blip r:embed="rId51">
          <a:lum/>
        </a:blip>
        <a:stretch>
          <a:fillRect/>
        </a:stretch>
      </xdr:blipFill>
      <xdr:spPr>
        <a:xfrm>
          <a:off x="158750" y="67862450"/>
          <a:ext cx="1431925" cy="1362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47625</xdr:colOff>
      <xdr:row>57</xdr:row>
      <xdr:rowOff>28575</xdr:rowOff>
    </xdr:from>
    <xdr:to>
      <xdr:col>0</xdr:col>
      <xdr:colOff>1609725</xdr:colOff>
      <xdr:row>58</xdr:row>
      <xdr:rowOff>752475</xdr:rowOff>
    </xdr:to>
    <xdr:pic>
      <xdr:nvPicPr>
        <xdr:cNvPr id="1028" name="图片 4"/>
        <xdr:cNvPicPr>
          <a:picLocks noChangeAspect="1"/>
        </xdr:cNvPicPr>
      </xdr:nvPicPr>
      <xdr:blipFill>
        <a:blip r:embed="rId52">
          <a:lum/>
        </a:blip>
        <a:stretch>
          <a:fillRect/>
        </a:stretch>
      </xdr:blipFill>
      <xdr:spPr>
        <a:xfrm>
          <a:off x="47625" y="36477575"/>
          <a:ext cx="1562100" cy="1524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161925</xdr:colOff>
      <xdr:row>109</xdr:row>
      <xdr:rowOff>38100</xdr:rowOff>
    </xdr:from>
    <xdr:to>
      <xdr:col>0</xdr:col>
      <xdr:colOff>1600200</xdr:colOff>
      <xdr:row>110</xdr:row>
      <xdr:rowOff>685800</xdr:rowOff>
    </xdr:to>
    <xdr:pic>
      <xdr:nvPicPr>
        <xdr:cNvPr id="1030" name="图片 6"/>
        <xdr:cNvPicPr>
          <a:picLocks noChangeAspect="1"/>
        </xdr:cNvPicPr>
      </xdr:nvPicPr>
      <xdr:blipFill>
        <a:blip r:embed="rId53">
          <a:lum/>
        </a:blip>
        <a:stretch>
          <a:fillRect/>
        </a:stretch>
      </xdr:blipFill>
      <xdr:spPr>
        <a:xfrm>
          <a:off x="161925" y="69291200"/>
          <a:ext cx="1438275" cy="1371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95250</xdr:colOff>
      <xdr:row>85</xdr:row>
      <xdr:rowOff>61595</xdr:rowOff>
    </xdr:from>
    <xdr:to>
      <xdr:col>0</xdr:col>
      <xdr:colOff>1614805</xdr:colOff>
      <xdr:row>88</xdr:row>
      <xdr:rowOff>316230</xdr:rowOff>
    </xdr:to>
    <xdr:pic>
      <xdr:nvPicPr>
        <xdr:cNvPr id="1031" name="图片 7"/>
        <xdr:cNvPicPr>
          <a:picLocks noChangeAspect="1"/>
        </xdr:cNvPicPr>
      </xdr:nvPicPr>
      <xdr:blipFill>
        <a:blip r:embed="rId54">
          <a:lum/>
        </a:blip>
        <a:stretch>
          <a:fillRect/>
        </a:stretch>
      </xdr:blipFill>
      <xdr:spPr>
        <a:xfrm>
          <a:off x="95250" y="53998495"/>
          <a:ext cx="1519555" cy="1397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382270</xdr:colOff>
      <xdr:row>0</xdr:row>
      <xdr:rowOff>95250</xdr:rowOff>
    </xdr:from>
    <xdr:to>
      <xdr:col>3</xdr:col>
      <xdr:colOff>146685</xdr:colOff>
      <xdr:row>0</xdr:row>
      <xdr:rowOff>952500</xdr:rowOff>
    </xdr:to>
    <xdr:pic>
      <xdr:nvPicPr>
        <xdr:cNvPr id="2" name="图片 24"/>
        <xdr:cNvPicPr>
          <a:picLocks noChangeAspect="1"/>
        </xdr:cNvPicPr>
      </xdr:nvPicPr>
      <xdr:blipFill>
        <a:blip r:embed="rId55">
          <a:lum/>
        </a:blip>
        <a:srcRect t="14696"/>
        <a:stretch>
          <a:fillRect/>
        </a:stretch>
      </xdr:blipFill>
      <xdr:spPr>
        <a:xfrm>
          <a:off x="3329940" y="95250"/>
          <a:ext cx="923925" cy="857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162560</xdr:colOff>
      <xdr:row>157</xdr:row>
      <xdr:rowOff>44450</xdr:rowOff>
    </xdr:from>
    <xdr:to>
      <xdr:col>0</xdr:col>
      <xdr:colOff>1516380</xdr:colOff>
      <xdr:row>157</xdr:row>
      <xdr:rowOff>1282065</xdr:rowOff>
    </xdr:to>
    <xdr:pic>
      <xdr:nvPicPr>
        <xdr:cNvPr id="3" name="图片 2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162560" y="99764850"/>
          <a:ext cx="1353820" cy="1237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76200</xdr:colOff>
      <xdr:row>67</xdr:row>
      <xdr:rowOff>63500</xdr:rowOff>
    </xdr:from>
    <xdr:to>
      <xdr:col>0</xdr:col>
      <xdr:colOff>1579245</xdr:colOff>
      <xdr:row>67</xdr:row>
      <xdr:rowOff>1379220</xdr:rowOff>
    </xdr:to>
    <xdr:pic>
      <xdr:nvPicPr>
        <xdr:cNvPr id="7" name="图片 6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76200" y="45288200"/>
          <a:ext cx="1503045" cy="1315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104775</xdr:colOff>
      <xdr:row>66</xdr:row>
      <xdr:rowOff>66675</xdr:rowOff>
    </xdr:from>
    <xdr:to>
      <xdr:col>0</xdr:col>
      <xdr:colOff>1551940</xdr:colOff>
      <xdr:row>66</xdr:row>
      <xdr:rowOff>1347470</xdr:rowOff>
    </xdr:to>
    <xdr:pic>
      <xdr:nvPicPr>
        <xdr:cNvPr id="4" name="图片 3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104775" y="43856275"/>
          <a:ext cx="1447165" cy="1280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95250</xdr:colOff>
      <xdr:row>33</xdr:row>
      <xdr:rowOff>57150</xdr:rowOff>
    </xdr:from>
    <xdr:to>
      <xdr:col>0</xdr:col>
      <xdr:colOff>1591310</xdr:colOff>
      <xdr:row>34</xdr:row>
      <xdr:rowOff>615950</xdr:rowOff>
    </xdr:to>
    <xdr:pic>
      <xdr:nvPicPr>
        <xdr:cNvPr id="5" name="图片 4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95250" y="24479250"/>
          <a:ext cx="1496060" cy="1320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97790</xdr:colOff>
      <xdr:row>129</xdr:row>
      <xdr:rowOff>36195</xdr:rowOff>
    </xdr:from>
    <xdr:to>
      <xdr:col>0</xdr:col>
      <xdr:colOff>1543050</xdr:colOff>
      <xdr:row>130</xdr:row>
      <xdr:rowOff>631190</xdr:rowOff>
    </xdr:to>
    <xdr:pic>
      <xdr:nvPicPr>
        <xdr:cNvPr id="9" name="图片 8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97790" y="82294095"/>
          <a:ext cx="1445260" cy="12807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86360</xdr:colOff>
      <xdr:row>134</xdr:row>
      <xdr:rowOff>34925</xdr:rowOff>
    </xdr:from>
    <xdr:to>
      <xdr:col>0</xdr:col>
      <xdr:colOff>1581150</xdr:colOff>
      <xdr:row>135</xdr:row>
      <xdr:rowOff>636270</xdr:rowOff>
    </xdr:to>
    <xdr:pic>
      <xdr:nvPicPr>
        <xdr:cNvPr id="10" name="图片 9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86360" y="85226525"/>
          <a:ext cx="1494790" cy="1325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90170</xdr:colOff>
      <xdr:row>127</xdr:row>
      <xdr:rowOff>44450</xdr:rowOff>
    </xdr:from>
    <xdr:to>
      <xdr:col>0</xdr:col>
      <xdr:colOff>1534795</xdr:colOff>
      <xdr:row>128</xdr:row>
      <xdr:rowOff>685800</xdr:rowOff>
    </xdr:to>
    <xdr:pic>
      <xdr:nvPicPr>
        <xdr:cNvPr id="11" name="图片 10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90170" y="80905350"/>
          <a:ext cx="1444625" cy="1339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114935</xdr:colOff>
      <xdr:row>131</xdr:row>
      <xdr:rowOff>69850</xdr:rowOff>
    </xdr:from>
    <xdr:to>
      <xdr:col>0</xdr:col>
      <xdr:colOff>1559560</xdr:colOff>
      <xdr:row>133</xdr:row>
      <xdr:rowOff>368300</xdr:rowOff>
    </xdr:to>
    <xdr:pic>
      <xdr:nvPicPr>
        <xdr:cNvPr id="12" name="图片 11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114935" y="83699350"/>
          <a:ext cx="1444625" cy="1339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38100</xdr:colOff>
      <xdr:row>151</xdr:row>
      <xdr:rowOff>56515</xdr:rowOff>
    </xdr:from>
    <xdr:to>
      <xdr:col>0</xdr:col>
      <xdr:colOff>1498600</xdr:colOff>
      <xdr:row>154</xdr:row>
      <xdr:rowOff>260350</xdr:rowOff>
    </xdr:to>
    <xdr:pic>
      <xdr:nvPicPr>
        <xdr:cNvPr id="13" name="图片 12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38100" y="96906715"/>
          <a:ext cx="1460500" cy="13468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142240</xdr:colOff>
      <xdr:row>35</xdr:row>
      <xdr:rowOff>22860</xdr:rowOff>
    </xdr:from>
    <xdr:to>
      <xdr:col>0</xdr:col>
      <xdr:colOff>1588770</xdr:colOff>
      <xdr:row>36</xdr:row>
      <xdr:rowOff>622935</xdr:rowOff>
    </xdr:to>
    <xdr:pic>
      <xdr:nvPicPr>
        <xdr:cNvPr id="8" name="图片 7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142240" y="25968960"/>
          <a:ext cx="1446530" cy="1260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154940</xdr:colOff>
      <xdr:row>139</xdr:row>
      <xdr:rowOff>44450</xdr:rowOff>
    </xdr:from>
    <xdr:to>
      <xdr:col>0</xdr:col>
      <xdr:colOff>1564640</xdr:colOff>
      <xdr:row>139</xdr:row>
      <xdr:rowOff>1374775</xdr:rowOff>
    </xdr:to>
    <xdr:pic>
      <xdr:nvPicPr>
        <xdr:cNvPr id="6" name="图片 5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154940" y="88207850"/>
          <a:ext cx="1409700" cy="1330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85725</xdr:colOff>
      <xdr:row>21</xdr:row>
      <xdr:rowOff>69850</xdr:rowOff>
    </xdr:from>
    <xdr:to>
      <xdr:col>0</xdr:col>
      <xdr:colOff>1565910</xdr:colOff>
      <xdr:row>25</xdr:row>
      <xdr:rowOff>201295</xdr:rowOff>
    </xdr:to>
    <xdr:pic>
      <xdr:nvPicPr>
        <xdr:cNvPr id="18" name="图片 17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85725" y="17240250"/>
          <a:ext cx="1480185" cy="1350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110490</xdr:colOff>
      <xdr:row>4</xdr:row>
      <xdr:rowOff>46990</xdr:rowOff>
    </xdr:from>
    <xdr:to>
      <xdr:col>0</xdr:col>
      <xdr:colOff>1541145</xdr:colOff>
      <xdr:row>4</xdr:row>
      <xdr:rowOff>1330960</xdr:rowOff>
    </xdr:to>
    <xdr:pic>
      <xdr:nvPicPr>
        <xdr:cNvPr id="15" name="图片 14"/>
        <xdr:cNvPicPr>
          <a:picLocks noChangeAspect="1"/>
        </xdr:cNvPicPr>
      </xdr:nvPicPr>
      <xdr:blipFill>
        <a:blip r:embed="rId67"/>
        <a:stretch>
          <a:fillRect/>
        </a:stretch>
      </xdr:blipFill>
      <xdr:spPr>
        <a:xfrm>
          <a:off x="110490" y="3069590"/>
          <a:ext cx="1430655" cy="1283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47625</xdr:colOff>
      <xdr:row>62</xdr:row>
      <xdr:rowOff>47625</xdr:rowOff>
    </xdr:from>
    <xdr:to>
      <xdr:col>0</xdr:col>
      <xdr:colOff>1534160</xdr:colOff>
      <xdr:row>65</xdr:row>
      <xdr:rowOff>276225</xdr:rowOff>
    </xdr:to>
    <xdr:pic>
      <xdr:nvPicPr>
        <xdr:cNvPr id="14" name="图片 13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47625" y="42414825"/>
          <a:ext cx="148653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84455</xdr:colOff>
      <xdr:row>125</xdr:row>
      <xdr:rowOff>55245</xdr:rowOff>
    </xdr:from>
    <xdr:to>
      <xdr:col>0</xdr:col>
      <xdr:colOff>1492885</xdr:colOff>
      <xdr:row>125</xdr:row>
      <xdr:rowOff>1381760</xdr:rowOff>
    </xdr:to>
    <xdr:pic>
      <xdr:nvPicPr>
        <xdr:cNvPr id="16" name="图片 15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84455" y="78147545"/>
          <a:ext cx="1408430" cy="1326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123825</xdr:colOff>
      <xdr:row>102</xdr:row>
      <xdr:rowOff>57150</xdr:rowOff>
    </xdr:from>
    <xdr:to>
      <xdr:col>0</xdr:col>
      <xdr:colOff>1623695</xdr:colOff>
      <xdr:row>103</xdr:row>
      <xdr:rowOff>660400</xdr:rowOff>
    </xdr:to>
    <xdr:pic>
      <xdr:nvPicPr>
        <xdr:cNvPr id="17" name="图片 16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123825" y="63480950"/>
          <a:ext cx="1499870" cy="1301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133350</xdr:colOff>
      <xdr:row>147</xdr:row>
      <xdr:rowOff>25400</xdr:rowOff>
    </xdr:from>
    <xdr:to>
      <xdr:col>0</xdr:col>
      <xdr:colOff>1533525</xdr:colOff>
      <xdr:row>147</xdr:row>
      <xdr:rowOff>1521460</xdr:rowOff>
    </xdr:to>
    <xdr:pic>
      <xdr:nvPicPr>
        <xdr:cNvPr id="23" name="图片 22"/>
        <xdr:cNvPicPr>
          <a:picLocks noChangeAspect="1"/>
        </xdr:cNvPicPr>
      </xdr:nvPicPr>
      <xdr:blipFill>
        <a:blip r:embed="rId71"/>
        <a:srcRect l="15985" r="13494"/>
        <a:stretch>
          <a:fillRect/>
        </a:stretch>
      </xdr:blipFill>
      <xdr:spPr>
        <a:xfrm>
          <a:off x="133350" y="92290900"/>
          <a:ext cx="1400175" cy="1496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5080</xdr:colOff>
      <xdr:row>148</xdr:row>
      <xdr:rowOff>48895</xdr:rowOff>
    </xdr:from>
    <xdr:to>
      <xdr:col>0</xdr:col>
      <xdr:colOff>1522095</xdr:colOff>
      <xdr:row>148</xdr:row>
      <xdr:rowOff>1452245</xdr:rowOff>
    </xdr:to>
    <xdr:pic>
      <xdr:nvPicPr>
        <xdr:cNvPr id="20" name="图片 19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5080" y="93927295"/>
          <a:ext cx="1517015" cy="1403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123825</xdr:colOff>
      <xdr:row>61</xdr:row>
      <xdr:rowOff>25400</xdr:rowOff>
    </xdr:from>
    <xdr:to>
      <xdr:col>0</xdr:col>
      <xdr:colOff>1546860</xdr:colOff>
      <xdr:row>61</xdr:row>
      <xdr:rowOff>1387475</xdr:rowOff>
    </xdr:to>
    <xdr:pic>
      <xdr:nvPicPr>
        <xdr:cNvPr id="21" name="图片 20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123825" y="40957500"/>
          <a:ext cx="1423035" cy="1362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104775</xdr:colOff>
      <xdr:row>113</xdr:row>
      <xdr:rowOff>170815</xdr:rowOff>
    </xdr:from>
    <xdr:to>
      <xdr:col>0</xdr:col>
      <xdr:colOff>1592580</xdr:colOff>
      <xdr:row>117</xdr:row>
      <xdr:rowOff>200660</xdr:rowOff>
    </xdr:to>
    <xdr:pic>
      <xdr:nvPicPr>
        <xdr:cNvPr id="24" name="图片 23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104775" y="72319515"/>
          <a:ext cx="1487805" cy="1350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161925</xdr:colOff>
      <xdr:row>29</xdr:row>
      <xdr:rowOff>53340</xdr:rowOff>
    </xdr:from>
    <xdr:to>
      <xdr:col>0</xdr:col>
      <xdr:colOff>1621790</xdr:colOff>
      <xdr:row>30</xdr:row>
      <xdr:rowOff>638810</xdr:rowOff>
    </xdr:to>
    <xdr:pic>
      <xdr:nvPicPr>
        <xdr:cNvPr id="25" name="图片 24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161925" y="21503640"/>
          <a:ext cx="1459865" cy="1347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0</xdr:colOff>
      <xdr:row>30</xdr:row>
      <xdr:rowOff>755650</xdr:rowOff>
    </xdr:from>
    <xdr:to>
      <xdr:col>11</xdr:col>
      <xdr:colOff>663575</xdr:colOff>
      <xdr:row>32</xdr:row>
      <xdr:rowOff>534035</xdr:rowOff>
    </xdr:to>
    <xdr:pic>
      <xdr:nvPicPr>
        <xdr:cNvPr id="26" name="图片 25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11877040" y="22967950"/>
          <a:ext cx="1349375" cy="1264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130810</xdr:colOff>
      <xdr:row>2</xdr:row>
      <xdr:rowOff>53975</xdr:rowOff>
    </xdr:from>
    <xdr:to>
      <xdr:col>0</xdr:col>
      <xdr:colOff>1531620</xdr:colOff>
      <xdr:row>3</xdr:row>
      <xdr:rowOff>676910</xdr:rowOff>
    </xdr:to>
    <xdr:pic>
      <xdr:nvPicPr>
        <xdr:cNvPr id="27" name="图片 26"/>
        <xdr:cNvPicPr>
          <a:picLocks noChangeAspect="1"/>
        </xdr:cNvPicPr>
      </xdr:nvPicPr>
      <xdr:blipFill>
        <a:blip r:embed="rId77">
          <a:lum/>
        </a:blip>
        <a:stretch>
          <a:fillRect/>
        </a:stretch>
      </xdr:blipFill>
      <xdr:spPr>
        <a:xfrm>
          <a:off x="130810" y="1577975"/>
          <a:ext cx="1400810" cy="1410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0</xdr:colOff>
      <xdr:row>2</xdr:row>
      <xdr:rowOff>47625</xdr:rowOff>
    </xdr:from>
    <xdr:to>
      <xdr:col>12</xdr:col>
      <xdr:colOff>126365</xdr:colOff>
      <xdr:row>3</xdr:row>
      <xdr:rowOff>649605</xdr:rowOff>
    </xdr:to>
    <xdr:pic>
      <xdr:nvPicPr>
        <xdr:cNvPr id="22" name="图片 21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11877040" y="1571625"/>
          <a:ext cx="1497965" cy="1389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166370</xdr:colOff>
      <xdr:row>140</xdr:row>
      <xdr:rowOff>30480</xdr:rowOff>
    </xdr:from>
    <xdr:to>
      <xdr:col>0</xdr:col>
      <xdr:colOff>1525270</xdr:colOff>
      <xdr:row>143</xdr:row>
      <xdr:rowOff>173355</xdr:rowOff>
    </xdr:to>
    <xdr:pic>
      <xdr:nvPicPr>
        <xdr:cNvPr id="19" name="图片 18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166370" y="89628980"/>
          <a:ext cx="1358900" cy="128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167005</xdr:colOff>
      <xdr:row>143</xdr:row>
      <xdr:rowOff>236220</xdr:rowOff>
    </xdr:from>
    <xdr:to>
      <xdr:col>0</xdr:col>
      <xdr:colOff>1522095</xdr:colOff>
      <xdr:row>146</xdr:row>
      <xdr:rowOff>316230</xdr:rowOff>
    </xdr:to>
    <xdr:pic>
      <xdr:nvPicPr>
        <xdr:cNvPr id="30" name="图片 29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167005" y="90977720"/>
          <a:ext cx="1355090" cy="1223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51435</xdr:colOff>
      <xdr:row>55</xdr:row>
      <xdr:rowOff>81280</xdr:rowOff>
    </xdr:from>
    <xdr:to>
      <xdr:col>0</xdr:col>
      <xdr:colOff>1574165</xdr:colOff>
      <xdr:row>55</xdr:row>
      <xdr:rowOff>1353820</xdr:rowOff>
    </xdr:to>
    <xdr:pic>
      <xdr:nvPicPr>
        <xdr:cNvPr id="32" name="图片 31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51435" y="33533080"/>
          <a:ext cx="1522730" cy="1272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92075</xdr:colOff>
      <xdr:row>16</xdr:row>
      <xdr:rowOff>46355</xdr:rowOff>
    </xdr:from>
    <xdr:to>
      <xdr:col>0</xdr:col>
      <xdr:colOff>1610995</xdr:colOff>
      <xdr:row>17</xdr:row>
      <xdr:rowOff>661670</xdr:rowOff>
    </xdr:to>
    <xdr:pic>
      <xdr:nvPicPr>
        <xdr:cNvPr id="33" name="图片 32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92075" y="12924155"/>
          <a:ext cx="1518920" cy="1402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0</xdr:colOff>
      <xdr:row>16</xdr:row>
      <xdr:rowOff>21590</xdr:rowOff>
    </xdr:from>
    <xdr:to>
      <xdr:col>11</xdr:col>
      <xdr:colOff>567055</xdr:colOff>
      <xdr:row>17</xdr:row>
      <xdr:rowOff>353060</xdr:rowOff>
    </xdr:to>
    <xdr:pic>
      <xdr:nvPicPr>
        <xdr:cNvPr id="34" name="图片 33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11877040" y="12899390"/>
          <a:ext cx="1252855" cy="1118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142875</xdr:colOff>
      <xdr:row>73</xdr:row>
      <xdr:rowOff>279400</xdr:rowOff>
    </xdr:from>
    <xdr:to>
      <xdr:col>0</xdr:col>
      <xdr:colOff>1546225</xdr:colOff>
      <xdr:row>76</xdr:row>
      <xdr:rowOff>368935</xdr:rowOff>
    </xdr:to>
    <xdr:pic>
      <xdr:nvPicPr>
        <xdr:cNvPr id="28" name="图片 27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142875" y="49542700"/>
          <a:ext cx="1403350" cy="127063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29845</xdr:colOff>
      <xdr:row>84</xdr:row>
      <xdr:rowOff>35560</xdr:rowOff>
    </xdr:from>
    <xdr:to>
      <xdr:col>0</xdr:col>
      <xdr:colOff>1668780</xdr:colOff>
      <xdr:row>85</xdr:row>
      <xdr:rowOff>610235</xdr:rowOff>
    </xdr:to>
    <xdr:pic>
      <xdr:nvPicPr>
        <xdr:cNvPr id="4097" name="图片 2" descr="1d6ec73c93a579a46292ccd9ba6581d"/>
        <xdr:cNvPicPr>
          <a:picLocks noChangeAspect="1"/>
        </xdr:cNvPicPr>
      </xdr:nvPicPr>
      <xdr:blipFill>
        <a:blip r:embed="rId1">
          <a:lum/>
        </a:blip>
        <a:stretch>
          <a:fillRect/>
        </a:stretch>
      </xdr:blipFill>
      <xdr:spPr>
        <a:xfrm>
          <a:off x="29845" y="52232560"/>
          <a:ext cx="1638935" cy="128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57150</xdr:colOff>
      <xdr:row>80</xdr:row>
      <xdr:rowOff>95250</xdr:rowOff>
    </xdr:from>
    <xdr:to>
      <xdr:col>0</xdr:col>
      <xdr:colOff>1647825</xdr:colOff>
      <xdr:row>83</xdr:row>
      <xdr:rowOff>314325</xdr:rowOff>
    </xdr:to>
    <xdr:pic>
      <xdr:nvPicPr>
        <xdr:cNvPr id="4098" name="图片 3" descr="1678702866358"/>
        <xdr:cNvPicPr>
          <a:picLocks noChangeAspect="1"/>
        </xdr:cNvPicPr>
      </xdr:nvPicPr>
      <xdr:blipFill>
        <a:blip r:embed="rId2">
          <a:lum/>
        </a:blip>
        <a:stretch>
          <a:fillRect/>
        </a:stretch>
      </xdr:blipFill>
      <xdr:spPr>
        <a:xfrm>
          <a:off x="57150" y="50615850"/>
          <a:ext cx="1590675" cy="1476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85725</xdr:colOff>
      <xdr:row>86</xdr:row>
      <xdr:rowOff>95250</xdr:rowOff>
    </xdr:from>
    <xdr:to>
      <xdr:col>0</xdr:col>
      <xdr:colOff>1600200</xdr:colOff>
      <xdr:row>87</xdr:row>
      <xdr:rowOff>723900</xdr:rowOff>
    </xdr:to>
    <xdr:pic>
      <xdr:nvPicPr>
        <xdr:cNvPr id="4099" name="图片 4" descr="1678702960775"/>
        <xdr:cNvPicPr>
          <a:picLocks noChangeAspect="1"/>
        </xdr:cNvPicPr>
      </xdr:nvPicPr>
      <xdr:blipFill>
        <a:blip r:embed="rId3">
          <a:lum/>
        </a:blip>
        <a:stretch>
          <a:fillRect/>
        </a:stretch>
      </xdr:blipFill>
      <xdr:spPr>
        <a:xfrm>
          <a:off x="85725" y="53714650"/>
          <a:ext cx="1514475" cy="1403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0</xdr:colOff>
      <xdr:row>84</xdr:row>
      <xdr:rowOff>95250</xdr:rowOff>
    </xdr:from>
    <xdr:to>
      <xdr:col>13</xdr:col>
      <xdr:colOff>123825</xdr:colOff>
      <xdr:row>85</xdr:row>
      <xdr:rowOff>619125</xdr:rowOff>
    </xdr:to>
    <xdr:pic>
      <xdr:nvPicPr>
        <xdr:cNvPr id="4101" name="图片 6"/>
        <xdr:cNvPicPr>
          <a:picLocks noChangeAspect="1"/>
        </xdr:cNvPicPr>
      </xdr:nvPicPr>
      <xdr:blipFill>
        <a:blip r:embed="rId4">
          <a:lum/>
        </a:blip>
        <a:stretch>
          <a:fillRect/>
        </a:stretch>
      </xdr:blipFill>
      <xdr:spPr>
        <a:xfrm>
          <a:off x="12545060" y="52292250"/>
          <a:ext cx="2181225" cy="1235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95250</xdr:colOff>
      <xdr:row>105</xdr:row>
      <xdr:rowOff>57150</xdr:rowOff>
    </xdr:from>
    <xdr:to>
      <xdr:col>0</xdr:col>
      <xdr:colOff>1619250</xdr:colOff>
      <xdr:row>107</xdr:row>
      <xdr:rowOff>314325</xdr:rowOff>
    </xdr:to>
    <xdr:pic>
      <xdr:nvPicPr>
        <xdr:cNvPr id="4105" name="图片 10"/>
        <xdr:cNvPicPr>
          <a:picLocks noChangeAspect="1"/>
        </xdr:cNvPicPr>
      </xdr:nvPicPr>
      <xdr:blipFill>
        <a:blip r:embed="rId5">
          <a:lum/>
        </a:blip>
        <a:srcRect l="6982" r="4208"/>
        <a:stretch>
          <a:fillRect/>
        </a:stretch>
      </xdr:blipFill>
      <xdr:spPr>
        <a:xfrm>
          <a:off x="95250" y="72904350"/>
          <a:ext cx="1524000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66675</xdr:colOff>
      <xdr:row>108</xdr:row>
      <xdr:rowOff>47625</xdr:rowOff>
    </xdr:from>
    <xdr:to>
      <xdr:col>0</xdr:col>
      <xdr:colOff>1609725</xdr:colOff>
      <xdr:row>110</xdr:row>
      <xdr:rowOff>400050</xdr:rowOff>
    </xdr:to>
    <xdr:pic>
      <xdr:nvPicPr>
        <xdr:cNvPr id="4106" name="图片 11"/>
        <xdr:cNvPicPr>
          <a:picLocks noChangeAspect="1"/>
        </xdr:cNvPicPr>
      </xdr:nvPicPr>
      <xdr:blipFill>
        <a:blip r:embed="rId6">
          <a:lum/>
        </a:blip>
        <a:stretch>
          <a:fillRect/>
        </a:stretch>
      </xdr:blipFill>
      <xdr:spPr>
        <a:xfrm>
          <a:off x="66675" y="74456925"/>
          <a:ext cx="1543050" cy="1343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190500</xdr:colOff>
      <xdr:row>113</xdr:row>
      <xdr:rowOff>47625</xdr:rowOff>
    </xdr:from>
    <xdr:to>
      <xdr:col>0</xdr:col>
      <xdr:colOff>1571625</xdr:colOff>
      <xdr:row>113</xdr:row>
      <xdr:rowOff>1438275</xdr:rowOff>
    </xdr:to>
    <xdr:pic>
      <xdr:nvPicPr>
        <xdr:cNvPr id="4107" name="图片 12"/>
        <xdr:cNvPicPr>
          <a:picLocks noChangeAspect="1"/>
        </xdr:cNvPicPr>
      </xdr:nvPicPr>
      <xdr:blipFill>
        <a:blip r:embed="rId7">
          <a:lum/>
        </a:blip>
        <a:stretch>
          <a:fillRect/>
        </a:stretch>
      </xdr:blipFill>
      <xdr:spPr>
        <a:xfrm>
          <a:off x="190500" y="77466825"/>
          <a:ext cx="1381125" cy="1390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67945</xdr:colOff>
      <xdr:row>121</xdr:row>
      <xdr:rowOff>53340</xdr:rowOff>
    </xdr:from>
    <xdr:to>
      <xdr:col>0</xdr:col>
      <xdr:colOff>1515745</xdr:colOff>
      <xdr:row>124</xdr:row>
      <xdr:rowOff>262890</xdr:rowOff>
    </xdr:to>
    <xdr:pic>
      <xdr:nvPicPr>
        <xdr:cNvPr id="4109" name="图片 14"/>
        <xdr:cNvPicPr>
          <a:picLocks noChangeAspect="1"/>
        </xdr:cNvPicPr>
      </xdr:nvPicPr>
      <xdr:blipFill>
        <a:blip r:embed="rId8">
          <a:lum/>
        </a:blip>
        <a:stretch>
          <a:fillRect/>
        </a:stretch>
      </xdr:blipFill>
      <xdr:spPr>
        <a:xfrm>
          <a:off x="67945" y="82120740"/>
          <a:ext cx="1447800" cy="1390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85725</xdr:colOff>
      <xdr:row>153</xdr:row>
      <xdr:rowOff>47625</xdr:rowOff>
    </xdr:from>
    <xdr:to>
      <xdr:col>0</xdr:col>
      <xdr:colOff>1495425</xdr:colOff>
      <xdr:row>155</xdr:row>
      <xdr:rowOff>400050</xdr:rowOff>
    </xdr:to>
    <xdr:pic>
      <xdr:nvPicPr>
        <xdr:cNvPr id="4112" name="图片 17" descr="1649398596(1)"/>
        <xdr:cNvPicPr>
          <a:picLocks noChangeAspect="1"/>
        </xdr:cNvPicPr>
      </xdr:nvPicPr>
      <xdr:blipFill>
        <a:blip r:embed="rId9">
          <a:lum/>
        </a:blip>
        <a:stretch>
          <a:fillRect/>
        </a:stretch>
      </xdr:blipFill>
      <xdr:spPr>
        <a:xfrm>
          <a:off x="85725" y="98828225"/>
          <a:ext cx="1409700" cy="1343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0</xdr:colOff>
      <xdr:row>153</xdr:row>
      <xdr:rowOff>19050</xdr:rowOff>
    </xdr:from>
    <xdr:to>
      <xdr:col>12</xdr:col>
      <xdr:colOff>95250</xdr:colOff>
      <xdr:row>155</xdr:row>
      <xdr:rowOff>457200</xdr:rowOff>
    </xdr:to>
    <xdr:pic>
      <xdr:nvPicPr>
        <xdr:cNvPr id="4113" name="图片 18"/>
        <xdr:cNvPicPr>
          <a:picLocks noChangeAspect="1"/>
        </xdr:cNvPicPr>
      </xdr:nvPicPr>
      <xdr:blipFill>
        <a:blip r:embed="rId10">
          <a:lum/>
        </a:blip>
        <a:stretch>
          <a:fillRect/>
        </a:stretch>
      </xdr:blipFill>
      <xdr:spPr>
        <a:xfrm>
          <a:off x="12545060" y="98799650"/>
          <a:ext cx="1466850" cy="1428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123825</xdr:colOff>
      <xdr:row>159</xdr:row>
      <xdr:rowOff>57150</xdr:rowOff>
    </xdr:from>
    <xdr:to>
      <xdr:col>0</xdr:col>
      <xdr:colOff>1457325</xdr:colOff>
      <xdr:row>161</xdr:row>
      <xdr:rowOff>409575</xdr:rowOff>
    </xdr:to>
    <xdr:pic>
      <xdr:nvPicPr>
        <xdr:cNvPr id="4116" name="图片 21"/>
        <xdr:cNvPicPr>
          <a:picLocks noChangeAspect="1"/>
        </xdr:cNvPicPr>
      </xdr:nvPicPr>
      <xdr:blipFill>
        <a:blip r:embed="rId11">
          <a:lum/>
        </a:blip>
        <a:stretch>
          <a:fillRect/>
        </a:stretch>
      </xdr:blipFill>
      <xdr:spPr>
        <a:xfrm>
          <a:off x="123825" y="101733350"/>
          <a:ext cx="1333500" cy="1292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95250</xdr:colOff>
      <xdr:row>74</xdr:row>
      <xdr:rowOff>85725</xdr:rowOff>
    </xdr:from>
    <xdr:to>
      <xdr:col>0</xdr:col>
      <xdr:colOff>1457325</xdr:colOff>
      <xdr:row>75</xdr:row>
      <xdr:rowOff>561975</xdr:rowOff>
    </xdr:to>
    <xdr:pic>
      <xdr:nvPicPr>
        <xdr:cNvPr id="4102" name="图片 7"/>
        <xdr:cNvPicPr>
          <a:picLocks noChangeAspect="1"/>
        </xdr:cNvPicPr>
      </xdr:nvPicPr>
      <xdr:blipFill>
        <a:blip r:embed="rId12">
          <a:lum/>
        </a:blip>
        <a:stretch>
          <a:fillRect/>
        </a:stretch>
      </xdr:blipFill>
      <xdr:spPr>
        <a:xfrm>
          <a:off x="95250" y="45500925"/>
          <a:ext cx="1362075" cy="1162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57150</xdr:colOff>
      <xdr:row>142</xdr:row>
      <xdr:rowOff>152400</xdr:rowOff>
    </xdr:from>
    <xdr:to>
      <xdr:col>0</xdr:col>
      <xdr:colOff>1590675</xdr:colOff>
      <xdr:row>146</xdr:row>
      <xdr:rowOff>9525</xdr:rowOff>
    </xdr:to>
    <xdr:pic>
      <xdr:nvPicPr>
        <xdr:cNvPr id="4118" name="图片 23"/>
        <xdr:cNvPicPr>
          <a:picLocks noChangeAspect="1"/>
        </xdr:cNvPicPr>
      </xdr:nvPicPr>
      <xdr:blipFill>
        <a:blip r:embed="rId13">
          <a:lum/>
        </a:blip>
        <a:stretch>
          <a:fillRect/>
        </a:stretch>
      </xdr:blipFill>
      <xdr:spPr>
        <a:xfrm>
          <a:off x="57150" y="93827600"/>
          <a:ext cx="1533525" cy="1228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76200</xdr:colOff>
      <xdr:row>148</xdr:row>
      <xdr:rowOff>104775</xdr:rowOff>
    </xdr:from>
    <xdr:to>
      <xdr:col>0</xdr:col>
      <xdr:colOff>1562100</xdr:colOff>
      <xdr:row>150</xdr:row>
      <xdr:rowOff>419100</xdr:rowOff>
    </xdr:to>
    <xdr:pic>
      <xdr:nvPicPr>
        <xdr:cNvPr id="4123" name="图片 28"/>
        <xdr:cNvPicPr>
          <a:picLocks noChangeAspect="1"/>
        </xdr:cNvPicPr>
      </xdr:nvPicPr>
      <xdr:blipFill>
        <a:blip r:embed="rId14">
          <a:lum/>
        </a:blip>
        <a:srcRect l="8018" r="7474"/>
        <a:stretch>
          <a:fillRect/>
        </a:stretch>
      </xdr:blipFill>
      <xdr:spPr>
        <a:xfrm>
          <a:off x="76200" y="95837375"/>
          <a:ext cx="1485900" cy="1330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142875</xdr:colOff>
      <xdr:row>77</xdr:row>
      <xdr:rowOff>28575</xdr:rowOff>
    </xdr:from>
    <xdr:to>
      <xdr:col>0</xdr:col>
      <xdr:colOff>1322705</xdr:colOff>
      <xdr:row>78</xdr:row>
      <xdr:rowOff>407035</xdr:rowOff>
    </xdr:to>
    <xdr:pic>
      <xdr:nvPicPr>
        <xdr:cNvPr id="4125" name="图片 30"/>
        <xdr:cNvPicPr>
          <a:picLocks noChangeAspect="1"/>
        </xdr:cNvPicPr>
      </xdr:nvPicPr>
      <xdr:blipFill>
        <a:blip r:embed="rId15">
          <a:lum/>
        </a:blip>
        <a:stretch>
          <a:fillRect/>
        </a:stretch>
      </xdr:blipFill>
      <xdr:spPr>
        <a:xfrm>
          <a:off x="142875" y="48110775"/>
          <a:ext cx="1179830" cy="11912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85725</xdr:colOff>
      <xdr:row>101</xdr:row>
      <xdr:rowOff>28575</xdr:rowOff>
    </xdr:from>
    <xdr:to>
      <xdr:col>0</xdr:col>
      <xdr:colOff>1533525</xdr:colOff>
      <xdr:row>102</xdr:row>
      <xdr:rowOff>714375</xdr:rowOff>
    </xdr:to>
    <xdr:pic>
      <xdr:nvPicPr>
        <xdr:cNvPr id="4128" name="图片 33"/>
        <xdr:cNvPicPr>
          <a:picLocks noChangeAspect="1"/>
        </xdr:cNvPicPr>
      </xdr:nvPicPr>
      <xdr:blipFill>
        <a:blip r:embed="rId16">
          <a:lum/>
        </a:blip>
        <a:stretch>
          <a:fillRect/>
        </a:stretch>
      </xdr:blipFill>
      <xdr:spPr>
        <a:xfrm>
          <a:off x="85725" y="69903975"/>
          <a:ext cx="1447800" cy="1447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142875</xdr:colOff>
      <xdr:row>103</xdr:row>
      <xdr:rowOff>28575</xdr:rowOff>
    </xdr:from>
    <xdr:to>
      <xdr:col>0</xdr:col>
      <xdr:colOff>1504950</xdr:colOff>
      <xdr:row>104</xdr:row>
      <xdr:rowOff>638175</xdr:rowOff>
    </xdr:to>
    <xdr:pic>
      <xdr:nvPicPr>
        <xdr:cNvPr id="4129" name="图片 34"/>
        <xdr:cNvPicPr>
          <a:picLocks noChangeAspect="1"/>
        </xdr:cNvPicPr>
      </xdr:nvPicPr>
      <xdr:blipFill>
        <a:blip r:embed="rId17">
          <a:lum/>
        </a:blip>
        <a:stretch>
          <a:fillRect/>
        </a:stretch>
      </xdr:blipFill>
      <xdr:spPr>
        <a:xfrm>
          <a:off x="142875" y="71427975"/>
          <a:ext cx="1362075" cy="1333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180975</xdr:colOff>
      <xdr:row>111</xdr:row>
      <xdr:rowOff>57150</xdr:rowOff>
    </xdr:from>
    <xdr:to>
      <xdr:col>0</xdr:col>
      <xdr:colOff>1581150</xdr:colOff>
      <xdr:row>112</xdr:row>
      <xdr:rowOff>666750</xdr:rowOff>
    </xdr:to>
    <xdr:pic>
      <xdr:nvPicPr>
        <xdr:cNvPr id="4131" name="图片 36"/>
        <xdr:cNvPicPr>
          <a:picLocks noChangeAspect="1"/>
        </xdr:cNvPicPr>
      </xdr:nvPicPr>
      <xdr:blipFill>
        <a:blip r:embed="rId18">
          <a:lum/>
        </a:blip>
        <a:stretch>
          <a:fillRect/>
        </a:stretch>
      </xdr:blipFill>
      <xdr:spPr>
        <a:xfrm>
          <a:off x="180975" y="75952350"/>
          <a:ext cx="1400175" cy="1371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123825</xdr:colOff>
      <xdr:row>125</xdr:row>
      <xdr:rowOff>38100</xdr:rowOff>
    </xdr:from>
    <xdr:to>
      <xdr:col>0</xdr:col>
      <xdr:colOff>1504950</xdr:colOff>
      <xdr:row>127</xdr:row>
      <xdr:rowOff>409575</xdr:rowOff>
    </xdr:to>
    <xdr:pic>
      <xdr:nvPicPr>
        <xdr:cNvPr id="4132" name="图片 37"/>
        <xdr:cNvPicPr>
          <a:picLocks noChangeAspect="1"/>
        </xdr:cNvPicPr>
      </xdr:nvPicPr>
      <xdr:blipFill>
        <a:blip r:embed="rId19">
          <a:lum/>
        </a:blip>
        <a:stretch>
          <a:fillRect/>
        </a:stretch>
      </xdr:blipFill>
      <xdr:spPr>
        <a:xfrm>
          <a:off x="123825" y="83680300"/>
          <a:ext cx="1381125" cy="1260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47625</xdr:colOff>
      <xdr:row>118</xdr:row>
      <xdr:rowOff>38100</xdr:rowOff>
    </xdr:from>
    <xdr:to>
      <xdr:col>0</xdr:col>
      <xdr:colOff>1504950</xdr:colOff>
      <xdr:row>120</xdr:row>
      <xdr:rowOff>400050</xdr:rowOff>
    </xdr:to>
    <xdr:pic>
      <xdr:nvPicPr>
        <xdr:cNvPr id="4133" name="图片 38"/>
        <xdr:cNvPicPr>
          <a:picLocks noChangeAspect="1"/>
        </xdr:cNvPicPr>
      </xdr:nvPicPr>
      <xdr:blipFill>
        <a:blip r:embed="rId20">
          <a:lum/>
        </a:blip>
        <a:stretch>
          <a:fillRect/>
        </a:stretch>
      </xdr:blipFill>
      <xdr:spPr>
        <a:xfrm>
          <a:off x="47625" y="80467200"/>
          <a:ext cx="1457325" cy="1454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57150</xdr:colOff>
      <xdr:row>151</xdr:row>
      <xdr:rowOff>38100</xdr:rowOff>
    </xdr:from>
    <xdr:to>
      <xdr:col>0</xdr:col>
      <xdr:colOff>1524000</xdr:colOff>
      <xdr:row>152</xdr:row>
      <xdr:rowOff>723900</xdr:rowOff>
    </xdr:to>
    <xdr:pic>
      <xdr:nvPicPr>
        <xdr:cNvPr id="4134" name="图片 39"/>
        <xdr:cNvPicPr>
          <a:picLocks noChangeAspect="1"/>
        </xdr:cNvPicPr>
      </xdr:nvPicPr>
      <xdr:blipFill>
        <a:blip r:embed="rId21">
          <a:lum/>
        </a:blip>
        <a:stretch>
          <a:fillRect/>
        </a:stretch>
      </xdr:blipFill>
      <xdr:spPr>
        <a:xfrm>
          <a:off x="57150" y="97294700"/>
          <a:ext cx="1466850" cy="1447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200025</xdr:colOff>
      <xdr:row>156</xdr:row>
      <xdr:rowOff>76200</xdr:rowOff>
    </xdr:from>
    <xdr:to>
      <xdr:col>0</xdr:col>
      <xdr:colOff>1457325</xdr:colOff>
      <xdr:row>158</xdr:row>
      <xdr:rowOff>390525</xdr:rowOff>
    </xdr:to>
    <xdr:pic>
      <xdr:nvPicPr>
        <xdr:cNvPr id="4135" name="图片 40"/>
        <xdr:cNvPicPr>
          <a:picLocks noChangeAspect="1"/>
        </xdr:cNvPicPr>
      </xdr:nvPicPr>
      <xdr:blipFill>
        <a:blip r:embed="rId22">
          <a:lum/>
        </a:blip>
        <a:stretch>
          <a:fillRect/>
        </a:stretch>
      </xdr:blipFill>
      <xdr:spPr>
        <a:xfrm>
          <a:off x="200025" y="100342700"/>
          <a:ext cx="1257300" cy="1254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76200</xdr:colOff>
      <xdr:row>114</xdr:row>
      <xdr:rowOff>38100</xdr:rowOff>
    </xdr:from>
    <xdr:to>
      <xdr:col>0</xdr:col>
      <xdr:colOff>1524000</xdr:colOff>
      <xdr:row>117</xdr:row>
      <xdr:rowOff>342900</xdr:rowOff>
    </xdr:to>
    <xdr:pic>
      <xdr:nvPicPr>
        <xdr:cNvPr id="4136" name="图片 41"/>
        <xdr:cNvPicPr>
          <a:picLocks noChangeAspect="1"/>
        </xdr:cNvPicPr>
      </xdr:nvPicPr>
      <xdr:blipFill>
        <a:blip r:embed="rId23">
          <a:lum/>
        </a:blip>
        <a:stretch>
          <a:fillRect/>
        </a:stretch>
      </xdr:blipFill>
      <xdr:spPr>
        <a:xfrm>
          <a:off x="76200" y="78943200"/>
          <a:ext cx="1447800" cy="1447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133350</xdr:colOff>
      <xdr:row>12</xdr:row>
      <xdr:rowOff>67310</xdr:rowOff>
    </xdr:from>
    <xdr:to>
      <xdr:col>0</xdr:col>
      <xdr:colOff>1443355</xdr:colOff>
      <xdr:row>12</xdr:row>
      <xdr:rowOff>1342390</xdr:rowOff>
    </xdr:to>
    <xdr:pic>
      <xdr:nvPicPr>
        <xdr:cNvPr id="4138" name="图片 43"/>
        <xdr:cNvPicPr>
          <a:picLocks noChangeAspect="1"/>
        </xdr:cNvPicPr>
      </xdr:nvPicPr>
      <xdr:blipFill>
        <a:blip r:embed="rId24">
          <a:lum/>
        </a:blip>
        <a:stretch>
          <a:fillRect/>
        </a:stretch>
      </xdr:blipFill>
      <xdr:spPr>
        <a:xfrm>
          <a:off x="133350" y="9706610"/>
          <a:ext cx="1310005" cy="12750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228600</xdr:colOff>
      <xdr:row>0</xdr:row>
      <xdr:rowOff>38100</xdr:rowOff>
    </xdr:from>
    <xdr:to>
      <xdr:col>2</xdr:col>
      <xdr:colOff>527050</xdr:colOff>
      <xdr:row>0</xdr:row>
      <xdr:rowOff>990600</xdr:rowOff>
    </xdr:to>
    <xdr:pic>
      <xdr:nvPicPr>
        <xdr:cNvPr id="4108" name="图片 13"/>
        <xdr:cNvPicPr>
          <a:picLocks noChangeAspect="1"/>
        </xdr:cNvPicPr>
      </xdr:nvPicPr>
      <xdr:blipFill>
        <a:blip r:embed="rId25">
          <a:lum/>
        </a:blip>
        <a:stretch>
          <a:fillRect/>
        </a:stretch>
      </xdr:blipFill>
      <xdr:spPr>
        <a:xfrm>
          <a:off x="1924050" y="38100"/>
          <a:ext cx="1714500" cy="952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847725</xdr:colOff>
      <xdr:row>0</xdr:row>
      <xdr:rowOff>19050</xdr:rowOff>
    </xdr:from>
    <xdr:to>
      <xdr:col>4</xdr:col>
      <xdr:colOff>129540</xdr:colOff>
      <xdr:row>0</xdr:row>
      <xdr:rowOff>838200</xdr:rowOff>
    </xdr:to>
    <xdr:pic>
      <xdr:nvPicPr>
        <xdr:cNvPr id="4111" name="图片 16"/>
        <xdr:cNvPicPr>
          <a:picLocks noChangeAspect="1"/>
        </xdr:cNvPicPr>
      </xdr:nvPicPr>
      <xdr:blipFill>
        <a:blip r:embed="rId26">
          <a:lum/>
        </a:blip>
        <a:srcRect t="14056" b="14278"/>
        <a:stretch>
          <a:fillRect/>
        </a:stretch>
      </xdr:blipFill>
      <xdr:spPr>
        <a:xfrm>
          <a:off x="3959225" y="19050"/>
          <a:ext cx="1543050" cy="819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7</xdr:col>
      <xdr:colOff>333375</xdr:colOff>
      <xdr:row>0</xdr:row>
      <xdr:rowOff>161925</xdr:rowOff>
    </xdr:from>
    <xdr:to>
      <xdr:col>8</xdr:col>
      <xdr:colOff>466725</xdr:colOff>
      <xdr:row>0</xdr:row>
      <xdr:rowOff>981075</xdr:rowOff>
    </xdr:to>
    <xdr:pic>
      <xdr:nvPicPr>
        <xdr:cNvPr id="4114" name="图片 19"/>
        <xdr:cNvPicPr>
          <a:picLocks noChangeAspect="1"/>
        </xdr:cNvPicPr>
      </xdr:nvPicPr>
      <xdr:blipFill>
        <a:blip r:embed="rId27">
          <a:lum/>
        </a:blip>
        <a:stretch>
          <a:fillRect/>
        </a:stretch>
      </xdr:blipFill>
      <xdr:spPr>
        <a:xfrm>
          <a:off x="8315960" y="161925"/>
          <a:ext cx="1647825" cy="819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95250</xdr:colOff>
      <xdr:row>100</xdr:row>
      <xdr:rowOff>38100</xdr:rowOff>
    </xdr:from>
    <xdr:to>
      <xdr:col>0</xdr:col>
      <xdr:colOff>1476375</xdr:colOff>
      <xdr:row>100</xdr:row>
      <xdr:rowOff>1285875</xdr:rowOff>
    </xdr:to>
    <xdr:pic>
      <xdr:nvPicPr>
        <xdr:cNvPr id="2056" name="图片 8"/>
        <xdr:cNvPicPr>
          <a:picLocks noChangeAspect="1"/>
        </xdr:cNvPicPr>
      </xdr:nvPicPr>
      <xdr:blipFill>
        <a:blip r:embed="rId28">
          <a:lum/>
        </a:blip>
        <a:stretch>
          <a:fillRect/>
        </a:stretch>
      </xdr:blipFill>
      <xdr:spPr>
        <a:xfrm>
          <a:off x="95250" y="68529200"/>
          <a:ext cx="1381125" cy="1247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161925</xdr:colOff>
      <xdr:row>99</xdr:row>
      <xdr:rowOff>47625</xdr:rowOff>
    </xdr:from>
    <xdr:to>
      <xdr:col>0</xdr:col>
      <xdr:colOff>1466850</xdr:colOff>
      <xdr:row>99</xdr:row>
      <xdr:rowOff>1279525</xdr:rowOff>
    </xdr:to>
    <xdr:pic>
      <xdr:nvPicPr>
        <xdr:cNvPr id="2055" name="图片 7"/>
        <xdr:cNvPicPr>
          <a:picLocks noChangeAspect="1"/>
        </xdr:cNvPicPr>
      </xdr:nvPicPr>
      <xdr:blipFill>
        <a:blip r:embed="rId29">
          <a:lum/>
        </a:blip>
        <a:stretch>
          <a:fillRect/>
        </a:stretch>
      </xdr:blipFill>
      <xdr:spPr>
        <a:xfrm>
          <a:off x="161925" y="67217925"/>
          <a:ext cx="1304925" cy="1231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161925</xdr:colOff>
      <xdr:row>76</xdr:row>
      <xdr:rowOff>57150</xdr:rowOff>
    </xdr:from>
    <xdr:to>
      <xdr:col>0</xdr:col>
      <xdr:colOff>1451610</xdr:colOff>
      <xdr:row>76</xdr:row>
      <xdr:rowOff>1270000</xdr:rowOff>
    </xdr:to>
    <xdr:pic>
      <xdr:nvPicPr>
        <xdr:cNvPr id="2057" name="图片 1"/>
        <xdr:cNvPicPr>
          <a:picLocks noChangeAspect="1"/>
        </xdr:cNvPicPr>
      </xdr:nvPicPr>
      <xdr:blipFill>
        <a:blip r:embed="rId30">
          <a:lum/>
        </a:blip>
        <a:stretch>
          <a:fillRect/>
        </a:stretch>
      </xdr:blipFill>
      <xdr:spPr>
        <a:xfrm>
          <a:off x="161925" y="46843950"/>
          <a:ext cx="1289685" cy="1212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800100</xdr:colOff>
      <xdr:row>0</xdr:row>
      <xdr:rowOff>228600</xdr:rowOff>
    </xdr:from>
    <xdr:to>
      <xdr:col>6</xdr:col>
      <xdr:colOff>723900</xdr:colOff>
      <xdr:row>0</xdr:row>
      <xdr:rowOff>762000</xdr:rowOff>
    </xdr:to>
    <xdr:pic>
      <xdr:nvPicPr>
        <xdr:cNvPr id="2" name="图片 22"/>
        <xdr:cNvPicPr>
          <a:picLocks noChangeAspect="1"/>
        </xdr:cNvPicPr>
      </xdr:nvPicPr>
      <xdr:blipFill>
        <a:blip r:embed="rId31">
          <a:lum/>
        </a:blip>
        <a:srcRect t="26366" b="37001"/>
        <a:stretch>
          <a:fillRect/>
        </a:stretch>
      </xdr:blipFill>
      <xdr:spPr>
        <a:xfrm>
          <a:off x="6172835" y="228600"/>
          <a:ext cx="1619250" cy="533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190500</xdr:colOff>
      <xdr:row>40</xdr:row>
      <xdr:rowOff>63500</xdr:rowOff>
    </xdr:from>
    <xdr:to>
      <xdr:col>0</xdr:col>
      <xdr:colOff>1475105</xdr:colOff>
      <xdr:row>42</xdr:row>
      <xdr:rowOff>412750</xdr:rowOff>
    </xdr:to>
    <xdr:pic>
      <xdr:nvPicPr>
        <xdr:cNvPr id="3" name="图片 2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90500" y="25501600"/>
          <a:ext cx="1284605" cy="1263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152400</xdr:colOff>
      <xdr:row>98</xdr:row>
      <xdr:rowOff>38100</xdr:rowOff>
    </xdr:from>
    <xdr:to>
      <xdr:col>0</xdr:col>
      <xdr:colOff>1487170</xdr:colOff>
      <xdr:row>98</xdr:row>
      <xdr:rowOff>1261110</xdr:rowOff>
    </xdr:to>
    <xdr:pic>
      <xdr:nvPicPr>
        <xdr:cNvPr id="7" name="图片 6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152400" y="65900300"/>
          <a:ext cx="1334770" cy="1223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38735</xdr:colOff>
      <xdr:row>97</xdr:row>
      <xdr:rowOff>47625</xdr:rowOff>
    </xdr:from>
    <xdr:to>
      <xdr:col>0</xdr:col>
      <xdr:colOff>1534160</xdr:colOff>
      <xdr:row>97</xdr:row>
      <xdr:rowOff>1424305</xdr:rowOff>
    </xdr:to>
    <xdr:pic>
      <xdr:nvPicPr>
        <xdr:cNvPr id="5" name="图片 15" descr="113c89d0cb9847026e5c4e1ddde2515"/>
        <xdr:cNvPicPr>
          <a:picLocks noChangeAspect="1"/>
        </xdr:cNvPicPr>
      </xdr:nvPicPr>
      <xdr:blipFill>
        <a:blip r:embed="rId34">
          <a:lum/>
        </a:blip>
        <a:srcRect l="6364" r="6221"/>
        <a:stretch>
          <a:fillRect/>
        </a:stretch>
      </xdr:blipFill>
      <xdr:spPr>
        <a:xfrm>
          <a:off x="38735" y="64462025"/>
          <a:ext cx="1495425" cy="1376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123825</xdr:colOff>
      <xdr:row>27</xdr:row>
      <xdr:rowOff>25400</xdr:rowOff>
    </xdr:from>
    <xdr:to>
      <xdr:col>0</xdr:col>
      <xdr:colOff>1423035</xdr:colOff>
      <xdr:row>29</xdr:row>
      <xdr:rowOff>236855</xdr:rowOff>
    </xdr:to>
    <xdr:pic>
      <xdr:nvPicPr>
        <xdr:cNvPr id="11" name="图片 10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123825" y="18630900"/>
          <a:ext cx="1299210" cy="12020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123825</xdr:colOff>
      <xdr:row>36</xdr:row>
      <xdr:rowOff>28575</xdr:rowOff>
    </xdr:from>
    <xdr:to>
      <xdr:col>0</xdr:col>
      <xdr:colOff>1497330</xdr:colOff>
      <xdr:row>36</xdr:row>
      <xdr:rowOff>1261745</xdr:rowOff>
    </xdr:to>
    <xdr:pic>
      <xdr:nvPicPr>
        <xdr:cNvPr id="12" name="图片 11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123825" y="22736175"/>
          <a:ext cx="1373505" cy="1233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85725</xdr:colOff>
      <xdr:row>88</xdr:row>
      <xdr:rowOff>76200</xdr:rowOff>
    </xdr:from>
    <xdr:to>
      <xdr:col>0</xdr:col>
      <xdr:colOff>1543050</xdr:colOff>
      <xdr:row>89</xdr:row>
      <xdr:rowOff>581025</xdr:rowOff>
    </xdr:to>
    <xdr:pic>
      <xdr:nvPicPr>
        <xdr:cNvPr id="13" name="图片 8"/>
        <xdr:cNvPicPr>
          <a:picLocks noChangeAspect="1"/>
        </xdr:cNvPicPr>
      </xdr:nvPicPr>
      <xdr:blipFill>
        <a:blip r:embed="rId37">
          <a:lum/>
        </a:blip>
        <a:stretch>
          <a:fillRect/>
        </a:stretch>
      </xdr:blipFill>
      <xdr:spPr>
        <a:xfrm>
          <a:off x="85725" y="55245000"/>
          <a:ext cx="1457325" cy="1228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105410</xdr:colOff>
      <xdr:row>18</xdr:row>
      <xdr:rowOff>97790</xdr:rowOff>
    </xdr:from>
    <xdr:to>
      <xdr:col>0</xdr:col>
      <xdr:colOff>1544320</xdr:colOff>
      <xdr:row>21</xdr:row>
      <xdr:rowOff>300355</xdr:rowOff>
    </xdr:to>
    <xdr:pic>
      <xdr:nvPicPr>
        <xdr:cNvPr id="15" name="图片 14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105410" y="15439390"/>
          <a:ext cx="1438910" cy="1307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76200</xdr:colOff>
      <xdr:row>96</xdr:row>
      <xdr:rowOff>38100</xdr:rowOff>
    </xdr:from>
    <xdr:to>
      <xdr:col>0</xdr:col>
      <xdr:colOff>1407160</xdr:colOff>
      <xdr:row>96</xdr:row>
      <xdr:rowOff>1222375</xdr:rowOff>
    </xdr:to>
    <xdr:pic>
      <xdr:nvPicPr>
        <xdr:cNvPr id="16" name="图片 15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76200" y="63157100"/>
          <a:ext cx="1330960" cy="1184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76200</xdr:colOff>
      <xdr:row>14</xdr:row>
      <xdr:rowOff>15875</xdr:rowOff>
    </xdr:from>
    <xdr:to>
      <xdr:col>0</xdr:col>
      <xdr:colOff>1658620</xdr:colOff>
      <xdr:row>15</xdr:row>
      <xdr:rowOff>636270</xdr:rowOff>
    </xdr:to>
    <xdr:pic>
      <xdr:nvPicPr>
        <xdr:cNvPr id="20" name="图片 19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76200" y="12487275"/>
          <a:ext cx="1582420" cy="1318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66675</xdr:colOff>
      <xdr:row>163</xdr:row>
      <xdr:rowOff>28575</xdr:rowOff>
    </xdr:from>
    <xdr:to>
      <xdr:col>0</xdr:col>
      <xdr:colOff>1546860</xdr:colOff>
      <xdr:row>163</xdr:row>
      <xdr:rowOff>1343660</xdr:rowOff>
    </xdr:to>
    <xdr:pic>
      <xdr:nvPicPr>
        <xdr:cNvPr id="23" name="图片 22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66675" y="104524175"/>
          <a:ext cx="1480185" cy="1315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47625</xdr:colOff>
      <xdr:row>162</xdr:row>
      <xdr:rowOff>31750</xdr:rowOff>
    </xdr:from>
    <xdr:to>
      <xdr:col>0</xdr:col>
      <xdr:colOff>1510665</xdr:colOff>
      <xdr:row>162</xdr:row>
      <xdr:rowOff>1391285</xdr:rowOff>
    </xdr:to>
    <xdr:pic>
      <xdr:nvPicPr>
        <xdr:cNvPr id="25" name="图片 24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47625" y="103117650"/>
          <a:ext cx="1463040" cy="1359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131445</xdr:colOff>
      <xdr:row>29</xdr:row>
      <xdr:rowOff>276225</xdr:rowOff>
    </xdr:from>
    <xdr:to>
      <xdr:col>0</xdr:col>
      <xdr:colOff>1429385</xdr:colOff>
      <xdr:row>31</xdr:row>
      <xdr:rowOff>474345</xdr:rowOff>
    </xdr:to>
    <xdr:pic>
      <xdr:nvPicPr>
        <xdr:cNvPr id="17" name="图片 16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131445" y="19872325"/>
          <a:ext cx="1297940" cy="1188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85725</xdr:colOff>
      <xdr:row>37</xdr:row>
      <xdr:rowOff>34290</xdr:rowOff>
    </xdr:from>
    <xdr:to>
      <xdr:col>0</xdr:col>
      <xdr:colOff>1531620</xdr:colOff>
      <xdr:row>39</xdr:row>
      <xdr:rowOff>409575</xdr:rowOff>
    </xdr:to>
    <xdr:pic>
      <xdr:nvPicPr>
        <xdr:cNvPr id="30" name="图片 29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85725" y="24062690"/>
          <a:ext cx="1445895" cy="1315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95250</xdr:colOff>
      <xdr:row>32</xdr:row>
      <xdr:rowOff>59690</xdr:rowOff>
    </xdr:from>
    <xdr:to>
      <xdr:col>0</xdr:col>
      <xdr:colOff>1495425</xdr:colOff>
      <xdr:row>35</xdr:row>
      <xdr:rowOff>156210</xdr:rowOff>
    </xdr:to>
    <xdr:pic>
      <xdr:nvPicPr>
        <xdr:cNvPr id="32" name="图片 31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95250" y="21141690"/>
          <a:ext cx="1400175" cy="1315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95250</xdr:colOff>
      <xdr:row>9</xdr:row>
      <xdr:rowOff>123825</xdr:rowOff>
    </xdr:from>
    <xdr:to>
      <xdr:col>0</xdr:col>
      <xdr:colOff>1454150</xdr:colOff>
      <xdr:row>10</xdr:row>
      <xdr:rowOff>632460</xdr:rowOff>
    </xdr:to>
    <xdr:pic>
      <xdr:nvPicPr>
        <xdr:cNvPr id="34" name="图片 33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95250" y="6969125"/>
          <a:ext cx="1358900" cy="1257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133350</xdr:colOff>
      <xdr:row>95</xdr:row>
      <xdr:rowOff>28575</xdr:rowOff>
    </xdr:from>
    <xdr:to>
      <xdr:col>0</xdr:col>
      <xdr:colOff>1403985</xdr:colOff>
      <xdr:row>95</xdr:row>
      <xdr:rowOff>1243330</xdr:rowOff>
    </xdr:to>
    <xdr:pic>
      <xdr:nvPicPr>
        <xdr:cNvPr id="36" name="图片 35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133350" y="61864875"/>
          <a:ext cx="1270635" cy="1214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140335</xdr:colOff>
      <xdr:row>94</xdr:row>
      <xdr:rowOff>65405</xdr:rowOff>
    </xdr:from>
    <xdr:to>
      <xdr:col>0</xdr:col>
      <xdr:colOff>1426210</xdr:colOff>
      <xdr:row>94</xdr:row>
      <xdr:rowOff>1272540</xdr:rowOff>
    </xdr:to>
    <xdr:pic>
      <xdr:nvPicPr>
        <xdr:cNvPr id="10" name="图片 9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140335" y="60619005"/>
          <a:ext cx="1285875" cy="1207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76200</xdr:colOff>
      <xdr:row>51</xdr:row>
      <xdr:rowOff>47625</xdr:rowOff>
    </xdr:from>
    <xdr:to>
      <xdr:col>0</xdr:col>
      <xdr:colOff>1488440</xdr:colOff>
      <xdr:row>53</xdr:row>
      <xdr:rowOff>390525</xdr:rowOff>
    </xdr:to>
    <xdr:pic>
      <xdr:nvPicPr>
        <xdr:cNvPr id="37" name="图片 36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76200" y="30324425"/>
          <a:ext cx="1412240" cy="1231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71120</xdr:colOff>
      <xdr:row>53</xdr:row>
      <xdr:rowOff>399415</xdr:rowOff>
    </xdr:from>
    <xdr:to>
      <xdr:col>0</xdr:col>
      <xdr:colOff>1492250</xdr:colOff>
      <xdr:row>56</xdr:row>
      <xdr:rowOff>313055</xdr:rowOff>
    </xdr:to>
    <xdr:pic>
      <xdr:nvPicPr>
        <xdr:cNvPr id="39" name="图片 38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71120" y="31565215"/>
          <a:ext cx="1421130" cy="1247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45085</xdr:colOff>
      <xdr:row>57</xdr:row>
      <xdr:rowOff>65405</xdr:rowOff>
    </xdr:from>
    <xdr:to>
      <xdr:col>0</xdr:col>
      <xdr:colOff>1448435</xdr:colOff>
      <xdr:row>59</xdr:row>
      <xdr:rowOff>372745</xdr:rowOff>
    </xdr:to>
    <xdr:pic>
      <xdr:nvPicPr>
        <xdr:cNvPr id="40" name="图片 39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45085" y="33009205"/>
          <a:ext cx="1403350" cy="1221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133350</xdr:colOff>
      <xdr:row>93</xdr:row>
      <xdr:rowOff>28575</xdr:rowOff>
    </xdr:from>
    <xdr:to>
      <xdr:col>0</xdr:col>
      <xdr:colOff>1376045</xdr:colOff>
      <xdr:row>93</xdr:row>
      <xdr:rowOff>1162050</xdr:rowOff>
    </xdr:to>
    <xdr:pic>
      <xdr:nvPicPr>
        <xdr:cNvPr id="41" name="图片 40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133350" y="59401075"/>
          <a:ext cx="1242695" cy="1133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0</xdr:colOff>
      <xdr:row>141</xdr:row>
      <xdr:rowOff>48895</xdr:rowOff>
    </xdr:from>
    <xdr:to>
      <xdr:col>12</xdr:col>
      <xdr:colOff>219710</xdr:colOff>
      <xdr:row>147</xdr:row>
      <xdr:rowOff>104140</xdr:rowOff>
    </xdr:to>
    <xdr:pic>
      <xdr:nvPicPr>
        <xdr:cNvPr id="31" name="图片 30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12545060" y="93381195"/>
          <a:ext cx="1591310" cy="21126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66675</xdr:colOff>
      <xdr:row>61</xdr:row>
      <xdr:rowOff>46990</xdr:rowOff>
    </xdr:from>
    <xdr:to>
      <xdr:col>0</xdr:col>
      <xdr:colOff>1524635</xdr:colOff>
      <xdr:row>61</xdr:row>
      <xdr:rowOff>1339850</xdr:rowOff>
    </xdr:to>
    <xdr:pic>
      <xdr:nvPicPr>
        <xdr:cNvPr id="51" name="图片 50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66675" y="35772090"/>
          <a:ext cx="1457960" cy="1292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123825</xdr:colOff>
      <xdr:row>92</xdr:row>
      <xdr:rowOff>37465</xdr:rowOff>
    </xdr:from>
    <xdr:to>
      <xdr:col>0</xdr:col>
      <xdr:colOff>1352550</xdr:colOff>
      <xdr:row>92</xdr:row>
      <xdr:rowOff>1153795</xdr:rowOff>
    </xdr:to>
    <xdr:pic>
      <xdr:nvPicPr>
        <xdr:cNvPr id="52" name="图片 51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123825" y="58127265"/>
          <a:ext cx="1228725" cy="1116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68580</xdr:colOff>
      <xdr:row>60</xdr:row>
      <xdr:rowOff>39370</xdr:rowOff>
    </xdr:from>
    <xdr:to>
      <xdr:col>0</xdr:col>
      <xdr:colOff>1516380</xdr:colOff>
      <xdr:row>60</xdr:row>
      <xdr:rowOff>1360170</xdr:rowOff>
    </xdr:to>
    <xdr:pic>
      <xdr:nvPicPr>
        <xdr:cNvPr id="47" name="图片 46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68580" y="34354770"/>
          <a:ext cx="1447800" cy="1320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67945</xdr:colOff>
      <xdr:row>66</xdr:row>
      <xdr:rowOff>47625</xdr:rowOff>
    </xdr:from>
    <xdr:to>
      <xdr:col>0</xdr:col>
      <xdr:colOff>1566545</xdr:colOff>
      <xdr:row>68</xdr:row>
      <xdr:rowOff>403860</xdr:rowOff>
    </xdr:to>
    <xdr:pic>
      <xdr:nvPicPr>
        <xdr:cNvPr id="35" name="图片 34"/>
        <xdr:cNvPicPr>
          <a:picLocks noChangeAspect="1"/>
        </xdr:cNvPicPr>
      </xdr:nvPicPr>
      <xdr:blipFill>
        <a:blip r:embed="rId57"/>
        <a:stretch>
          <a:fillRect/>
        </a:stretch>
      </xdr:blipFill>
      <xdr:spPr>
        <a:xfrm>
          <a:off x="67945" y="41132125"/>
          <a:ext cx="1498600" cy="1321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65</xdr:row>
      <xdr:rowOff>0</xdr:rowOff>
    </xdr:from>
    <xdr:to>
      <xdr:col>0</xdr:col>
      <xdr:colOff>304800</xdr:colOff>
      <xdr:row>65</xdr:row>
      <xdr:rowOff>304800</xdr:rowOff>
    </xdr:to>
    <xdr:pic>
      <xdr:nvPicPr>
        <xdr:cNvPr id="22" name="图片 21"/>
        <xdr:cNvPicPr>
          <a:picLocks noChangeAspect="1"/>
        </xdr:cNvPicPr>
      </xdr:nvPicPr>
      <xdr:blipFill>
        <a:stretch>
          <a:fillRect/>
        </a:stretch>
      </xdr:blipFill>
      <xdr:spPr>
        <a:xfrm>
          <a:off x="0" y="39674800"/>
          <a:ext cx="304800" cy="30480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76835</xdr:colOff>
      <xdr:row>164</xdr:row>
      <xdr:rowOff>57150</xdr:rowOff>
    </xdr:from>
    <xdr:to>
      <xdr:col>0</xdr:col>
      <xdr:colOff>1496060</xdr:colOff>
      <xdr:row>166</xdr:row>
      <xdr:rowOff>348615</xdr:rowOff>
    </xdr:to>
    <xdr:pic>
      <xdr:nvPicPr>
        <xdr:cNvPr id="54" name="ID_789E1AC1D4814FEBB2DEF788601B4789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76835" y="105962450"/>
          <a:ext cx="1419225" cy="1282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95250</xdr:colOff>
      <xdr:row>65</xdr:row>
      <xdr:rowOff>18415</xdr:rowOff>
    </xdr:from>
    <xdr:to>
      <xdr:col>0</xdr:col>
      <xdr:colOff>1534160</xdr:colOff>
      <xdr:row>65</xdr:row>
      <xdr:rowOff>1353185</xdr:rowOff>
    </xdr:to>
    <xdr:pic>
      <xdr:nvPicPr>
        <xdr:cNvPr id="55" name="图片 54"/>
        <xdr:cNvPicPr>
          <a:picLocks noChangeAspect="1"/>
        </xdr:cNvPicPr>
      </xdr:nvPicPr>
      <xdr:blipFill>
        <a:blip r:embed="rId59"/>
        <a:srcRect l="8572" r="10836" b="40"/>
        <a:stretch>
          <a:fillRect/>
        </a:stretch>
      </xdr:blipFill>
      <xdr:spPr>
        <a:xfrm>
          <a:off x="95250" y="39693215"/>
          <a:ext cx="1438910" cy="1334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0</xdr:colOff>
      <xdr:row>66</xdr:row>
      <xdr:rowOff>76200</xdr:rowOff>
    </xdr:from>
    <xdr:to>
      <xdr:col>12</xdr:col>
      <xdr:colOff>267335</xdr:colOff>
      <xdr:row>69</xdr:row>
      <xdr:rowOff>56515</xdr:rowOff>
    </xdr:to>
    <xdr:pic>
      <xdr:nvPicPr>
        <xdr:cNvPr id="56" name="图片 55"/>
        <xdr:cNvPicPr>
          <a:picLocks noChangeAspect="1"/>
        </xdr:cNvPicPr>
      </xdr:nvPicPr>
      <xdr:blipFill>
        <a:blip r:embed="rId60"/>
        <a:srcRect l="6281" r="7873"/>
        <a:stretch>
          <a:fillRect/>
        </a:stretch>
      </xdr:blipFill>
      <xdr:spPr>
        <a:xfrm>
          <a:off x="12545060" y="41160700"/>
          <a:ext cx="1638935" cy="1428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85725</xdr:colOff>
      <xdr:row>23</xdr:row>
      <xdr:rowOff>96520</xdr:rowOff>
    </xdr:from>
    <xdr:to>
      <xdr:col>0</xdr:col>
      <xdr:colOff>1489710</xdr:colOff>
      <xdr:row>26</xdr:row>
      <xdr:rowOff>289560</xdr:rowOff>
    </xdr:to>
    <xdr:pic>
      <xdr:nvPicPr>
        <xdr:cNvPr id="38" name="图片 37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85725" y="17279620"/>
          <a:ext cx="1403985" cy="1259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108585</xdr:colOff>
      <xdr:row>62</xdr:row>
      <xdr:rowOff>23495</xdr:rowOff>
    </xdr:from>
    <xdr:to>
      <xdr:col>0</xdr:col>
      <xdr:colOff>1419860</xdr:colOff>
      <xdr:row>63</xdr:row>
      <xdr:rowOff>534035</xdr:rowOff>
    </xdr:to>
    <xdr:pic>
      <xdr:nvPicPr>
        <xdr:cNvPr id="46" name="图片 45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108585" y="37158295"/>
          <a:ext cx="1311275" cy="1158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183515</xdr:colOff>
      <xdr:row>140</xdr:row>
      <xdr:rowOff>33020</xdr:rowOff>
    </xdr:from>
    <xdr:to>
      <xdr:col>0</xdr:col>
      <xdr:colOff>1523365</xdr:colOff>
      <xdr:row>140</xdr:row>
      <xdr:rowOff>1235710</xdr:rowOff>
    </xdr:to>
    <xdr:pic>
      <xdr:nvPicPr>
        <xdr:cNvPr id="61" name="图片 60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183515" y="92108020"/>
          <a:ext cx="1339850" cy="1202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136525</xdr:colOff>
      <xdr:row>137</xdr:row>
      <xdr:rowOff>35560</xdr:rowOff>
    </xdr:from>
    <xdr:to>
      <xdr:col>0</xdr:col>
      <xdr:colOff>1520190</xdr:colOff>
      <xdr:row>139</xdr:row>
      <xdr:rowOff>386080</xdr:rowOff>
    </xdr:to>
    <xdr:pic>
      <xdr:nvPicPr>
        <xdr:cNvPr id="62" name="图片 61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136525" y="90738960"/>
          <a:ext cx="1383665" cy="1264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100965</xdr:colOff>
      <xdr:row>16</xdr:row>
      <xdr:rowOff>29210</xdr:rowOff>
    </xdr:from>
    <xdr:to>
      <xdr:col>0</xdr:col>
      <xdr:colOff>1577975</xdr:colOff>
      <xdr:row>17</xdr:row>
      <xdr:rowOff>615950</xdr:rowOff>
    </xdr:to>
    <xdr:pic>
      <xdr:nvPicPr>
        <xdr:cNvPr id="63" name="图片 62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100965" y="13897610"/>
          <a:ext cx="1477010" cy="1323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57150</xdr:colOff>
      <xdr:row>70</xdr:row>
      <xdr:rowOff>27940</xdr:rowOff>
    </xdr:from>
    <xdr:to>
      <xdr:col>0</xdr:col>
      <xdr:colOff>1616710</xdr:colOff>
      <xdr:row>73</xdr:row>
      <xdr:rowOff>282575</xdr:rowOff>
    </xdr:to>
    <xdr:pic>
      <xdr:nvPicPr>
        <xdr:cNvPr id="58" name="图片 57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57150" y="43969940"/>
          <a:ext cx="1559560" cy="13595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85725</xdr:colOff>
      <xdr:row>48</xdr:row>
      <xdr:rowOff>57150</xdr:rowOff>
    </xdr:from>
    <xdr:to>
      <xdr:col>0</xdr:col>
      <xdr:colOff>1476375</xdr:colOff>
      <xdr:row>50</xdr:row>
      <xdr:rowOff>390525</xdr:rowOff>
    </xdr:to>
    <xdr:pic>
      <xdr:nvPicPr>
        <xdr:cNvPr id="33" name="图片 32"/>
        <xdr:cNvPicPr>
          <a:picLocks noChangeAspect="1"/>
        </xdr:cNvPicPr>
      </xdr:nvPicPr>
      <xdr:blipFill>
        <a:blip r:embed="rId67"/>
        <a:srcRect l="6523" r="5842" b="1008"/>
        <a:stretch>
          <a:fillRect/>
        </a:stretch>
      </xdr:blipFill>
      <xdr:spPr>
        <a:xfrm>
          <a:off x="85725" y="28962350"/>
          <a:ext cx="1390650" cy="1247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85725</xdr:colOff>
      <xdr:row>169</xdr:row>
      <xdr:rowOff>76200</xdr:rowOff>
    </xdr:from>
    <xdr:to>
      <xdr:col>0</xdr:col>
      <xdr:colOff>1475105</xdr:colOff>
      <xdr:row>175</xdr:row>
      <xdr:rowOff>57150</xdr:rowOff>
    </xdr:to>
    <xdr:pic>
      <xdr:nvPicPr>
        <xdr:cNvPr id="59" name="图片 1" descr="1639040102(1)"/>
        <xdr:cNvPicPr>
          <a:picLocks noChangeAspect="1"/>
        </xdr:cNvPicPr>
      </xdr:nvPicPr>
      <xdr:blipFill>
        <a:blip r:embed="rId68">
          <a:lum/>
        </a:blip>
        <a:stretch>
          <a:fillRect/>
        </a:stretch>
      </xdr:blipFill>
      <xdr:spPr>
        <a:xfrm>
          <a:off x="85725" y="108915200"/>
          <a:ext cx="1389380" cy="1352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85725</xdr:colOff>
      <xdr:row>179</xdr:row>
      <xdr:rowOff>57150</xdr:rowOff>
    </xdr:from>
    <xdr:to>
      <xdr:col>0</xdr:col>
      <xdr:colOff>1408430</xdr:colOff>
      <xdr:row>180</xdr:row>
      <xdr:rowOff>659765</xdr:rowOff>
    </xdr:to>
    <xdr:pic>
      <xdr:nvPicPr>
        <xdr:cNvPr id="65" name="图片 7" descr="1653722703"/>
        <xdr:cNvPicPr>
          <a:picLocks noChangeAspect="1"/>
        </xdr:cNvPicPr>
      </xdr:nvPicPr>
      <xdr:blipFill>
        <a:blip r:embed="rId69">
          <a:lum/>
        </a:blip>
        <a:srcRect l="8389" t="1437" r="7111" b="768"/>
        <a:stretch>
          <a:fillRect/>
        </a:stretch>
      </xdr:blipFill>
      <xdr:spPr>
        <a:xfrm>
          <a:off x="85725" y="112109250"/>
          <a:ext cx="1322705" cy="1275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133350</xdr:colOff>
      <xdr:row>181</xdr:row>
      <xdr:rowOff>76200</xdr:rowOff>
    </xdr:from>
    <xdr:to>
      <xdr:col>0</xdr:col>
      <xdr:colOff>1350010</xdr:colOff>
      <xdr:row>184</xdr:row>
      <xdr:rowOff>291465</xdr:rowOff>
    </xdr:to>
    <xdr:pic>
      <xdr:nvPicPr>
        <xdr:cNvPr id="66" name="图片 8"/>
        <xdr:cNvPicPr>
          <a:picLocks noChangeAspect="1"/>
        </xdr:cNvPicPr>
      </xdr:nvPicPr>
      <xdr:blipFill>
        <a:blip r:embed="rId70">
          <a:lum/>
        </a:blip>
        <a:srcRect l="14038" r="13193" b="1674"/>
        <a:stretch>
          <a:fillRect/>
        </a:stretch>
      </xdr:blipFill>
      <xdr:spPr>
        <a:xfrm>
          <a:off x="133350" y="113474500"/>
          <a:ext cx="1216660" cy="1243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8</xdr:col>
      <xdr:colOff>1200150</xdr:colOff>
      <xdr:row>0</xdr:row>
      <xdr:rowOff>67310</xdr:rowOff>
    </xdr:from>
    <xdr:to>
      <xdr:col>9</xdr:col>
      <xdr:colOff>590550</xdr:colOff>
      <xdr:row>0</xdr:row>
      <xdr:rowOff>1048385</xdr:rowOff>
    </xdr:to>
    <xdr:pic>
      <xdr:nvPicPr>
        <xdr:cNvPr id="68" name="图片 2"/>
        <xdr:cNvPicPr>
          <a:picLocks noChangeAspect="1"/>
        </xdr:cNvPicPr>
      </xdr:nvPicPr>
      <xdr:blipFill>
        <a:blip r:embed="rId71">
          <a:lum/>
        </a:blip>
        <a:stretch>
          <a:fillRect/>
        </a:stretch>
      </xdr:blipFill>
      <xdr:spPr>
        <a:xfrm>
          <a:off x="10697210" y="67310"/>
          <a:ext cx="1200150" cy="981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95250</xdr:colOff>
      <xdr:row>6</xdr:row>
      <xdr:rowOff>34925</xdr:rowOff>
    </xdr:from>
    <xdr:to>
      <xdr:col>0</xdr:col>
      <xdr:colOff>1522730</xdr:colOff>
      <xdr:row>7</xdr:row>
      <xdr:rowOff>600075</xdr:rowOff>
    </xdr:to>
    <xdr:pic>
      <xdr:nvPicPr>
        <xdr:cNvPr id="4" name="图片 3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95250" y="4098925"/>
          <a:ext cx="1427480" cy="1263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92075</xdr:colOff>
      <xdr:row>3</xdr:row>
      <xdr:rowOff>52070</xdr:rowOff>
    </xdr:from>
    <xdr:to>
      <xdr:col>0</xdr:col>
      <xdr:colOff>1485900</xdr:colOff>
      <xdr:row>5</xdr:row>
      <xdr:rowOff>367665</xdr:rowOff>
    </xdr:to>
    <xdr:pic>
      <xdr:nvPicPr>
        <xdr:cNvPr id="6" name="图片 5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92075" y="2706370"/>
          <a:ext cx="1393825" cy="1255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60960</xdr:colOff>
      <xdr:row>1</xdr:row>
      <xdr:rowOff>320675</xdr:rowOff>
    </xdr:from>
    <xdr:to>
      <xdr:col>0</xdr:col>
      <xdr:colOff>1360170</xdr:colOff>
      <xdr:row>2</xdr:row>
      <xdr:rowOff>1184275</xdr:rowOff>
    </xdr:to>
    <xdr:pic>
      <xdr:nvPicPr>
        <xdr:cNvPr id="8" name="图片 7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60960" y="1412875"/>
          <a:ext cx="1299210" cy="1193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47625</xdr:colOff>
      <xdr:row>69</xdr:row>
      <xdr:rowOff>15875</xdr:rowOff>
    </xdr:from>
    <xdr:to>
      <xdr:col>0</xdr:col>
      <xdr:colOff>1630045</xdr:colOff>
      <xdr:row>69</xdr:row>
      <xdr:rowOff>1311910</xdr:rowOff>
    </xdr:to>
    <xdr:pic>
      <xdr:nvPicPr>
        <xdr:cNvPr id="9" name="图片 8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47625" y="42548175"/>
          <a:ext cx="1582420" cy="1296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132080</xdr:colOff>
      <xdr:row>43</xdr:row>
      <xdr:rowOff>186690</xdr:rowOff>
    </xdr:from>
    <xdr:to>
      <xdr:col>0</xdr:col>
      <xdr:colOff>1524635</xdr:colOff>
      <xdr:row>46</xdr:row>
      <xdr:rowOff>174625</xdr:rowOff>
    </xdr:to>
    <xdr:pic>
      <xdr:nvPicPr>
        <xdr:cNvPr id="14" name="图片 13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132080" y="26996390"/>
          <a:ext cx="1392555" cy="1245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95250</xdr:colOff>
      <xdr:row>13</xdr:row>
      <xdr:rowOff>57150</xdr:rowOff>
    </xdr:from>
    <xdr:to>
      <xdr:col>0</xdr:col>
      <xdr:colOff>1612265</xdr:colOff>
      <xdr:row>13</xdr:row>
      <xdr:rowOff>1343025</xdr:rowOff>
    </xdr:to>
    <xdr:pic>
      <xdr:nvPicPr>
        <xdr:cNvPr id="19" name="图片 18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95250" y="11106150"/>
          <a:ext cx="1517015" cy="128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162560</xdr:colOff>
      <xdr:row>90</xdr:row>
      <xdr:rowOff>57150</xdr:rowOff>
    </xdr:from>
    <xdr:to>
      <xdr:col>0</xdr:col>
      <xdr:colOff>1462405</xdr:colOff>
      <xdr:row>91</xdr:row>
      <xdr:rowOff>629285</xdr:rowOff>
    </xdr:to>
    <xdr:pic>
      <xdr:nvPicPr>
        <xdr:cNvPr id="18" name="ID_A44C70D00EB54262A6DFD41CCA9145CD"/>
        <xdr:cNvPicPr>
          <a:picLocks noChangeAspect="1"/>
        </xdr:cNvPicPr>
      </xdr:nvPicPr>
      <xdr:blipFill>
        <a:blip r:embed="rId78"/>
        <a:stretch>
          <a:fillRect/>
        </a:stretch>
      </xdr:blipFill>
      <xdr:spPr>
        <a:xfrm>
          <a:off x="162560" y="56673750"/>
          <a:ext cx="1299845" cy="13087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133350</xdr:colOff>
      <xdr:row>129</xdr:row>
      <xdr:rowOff>28575</xdr:rowOff>
    </xdr:from>
    <xdr:to>
      <xdr:col>0</xdr:col>
      <xdr:colOff>1551940</xdr:colOff>
      <xdr:row>131</xdr:row>
      <xdr:rowOff>140335</xdr:rowOff>
    </xdr:to>
    <xdr:pic>
      <xdr:nvPicPr>
        <xdr:cNvPr id="21" name="图片 20"/>
        <xdr:cNvPicPr>
          <a:picLocks noChangeAspect="1"/>
        </xdr:cNvPicPr>
      </xdr:nvPicPr>
      <xdr:blipFill>
        <a:blip r:embed="rId79"/>
        <a:stretch>
          <a:fillRect/>
        </a:stretch>
      </xdr:blipFill>
      <xdr:spPr>
        <a:xfrm>
          <a:off x="133350" y="86261575"/>
          <a:ext cx="1418590" cy="1229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113030</xdr:colOff>
      <xdr:row>131</xdr:row>
      <xdr:rowOff>184150</xdr:rowOff>
    </xdr:from>
    <xdr:to>
      <xdr:col>0</xdr:col>
      <xdr:colOff>1508125</xdr:colOff>
      <xdr:row>133</xdr:row>
      <xdr:rowOff>276225</xdr:rowOff>
    </xdr:to>
    <xdr:pic>
      <xdr:nvPicPr>
        <xdr:cNvPr id="24" name="图片 23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113030" y="87534750"/>
          <a:ext cx="1395095" cy="1209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111125</xdr:colOff>
      <xdr:row>133</xdr:row>
      <xdr:rowOff>352425</xdr:rowOff>
    </xdr:from>
    <xdr:to>
      <xdr:col>0</xdr:col>
      <xdr:colOff>1521460</xdr:colOff>
      <xdr:row>135</xdr:row>
      <xdr:rowOff>483870</xdr:rowOff>
    </xdr:to>
    <xdr:pic>
      <xdr:nvPicPr>
        <xdr:cNvPr id="26" name="图片 25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111125" y="88820625"/>
          <a:ext cx="1410335" cy="1249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57150</xdr:colOff>
      <xdr:row>167</xdr:row>
      <xdr:rowOff>27940</xdr:rowOff>
    </xdr:from>
    <xdr:to>
      <xdr:col>0</xdr:col>
      <xdr:colOff>1550670</xdr:colOff>
      <xdr:row>168</xdr:row>
      <xdr:rowOff>601980</xdr:rowOff>
    </xdr:to>
    <xdr:pic>
      <xdr:nvPicPr>
        <xdr:cNvPr id="29" name="图片 28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57150" y="107419140"/>
          <a:ext cx="1493520" cy="1297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66675</xdr:colOff>
      <xdr:row>176</xdr:row>
      <xdr:rowOff>135890</xdr:rowOff>
    </xdr:from>
    <xdr:to>
      <xdr:col>0</xdr:col>
      <xdr:colOff>1537335</xdr:colOff>
      <xdr:row>178</xdr:row>
      <xdr:rowOff>440055</xdr:rowOff>
    </xdr:to>
    <xdr:pic>
      <xdr:nvPicPr>
        <xdr:cNvPr id="44" name="图片 43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66675" y="110587790"/>
          <a:ext cx="1470660" cy="1370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64</xdr:row>
      <xdr:rowOff>95250</xdr:rowOff>
    </xdr:from>
    <xdr:to>
      <xdr:col>0</xdr:col>
      <xdr:colOff>1661795</xdr:colOff>
      <xdr:row>64</xdr:row>
      <xdr:rowOff>1033145</xdr:rowOff>
    </xdr:to>
    <xdr:pic>
      <xdr:nvPicPr>
        <xdr:cNvPr id="28" name="ID_8D5BF4A2EE0048E8B1233BF8E2FEA012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635" y="38525450"/>
          <a:ext cx="1661160" cy="937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180975</xdr:colOff>
      <xdr:row>128</xdr:row>
      <xdr:rowOff>34925</xdr:rowOff>
    </xdr:from>
    <xdr:to>
      <xdr:col>0</xdr:col>
      <xdr:colOff>1433830</xdr:colOff>
      <xdr:row>128</xdr:row>
      <xdr:rowOff>1212850</xdr:rowOff>
    </xdr:to>
    <xdr:pic>
      <xdr:nvPicPr>
        <xdr:cNvPr id="45" name="图片 44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180975" y="85010625"/>
          <a:ext cx="1252855" cy="1177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45085</xdr:colOff>
      <xdr:row>8</xdr:row>
      <xdr:rowOff>60325</xdr:rowOff>
    </xdr:from>
    <xdr:to>
      <xdr:col>0</xdr:col>
      <xdr:colOff>1471295</xdr:colOff>
      <xdr:row>8</xdr:row>
      <xdr:rowOff>1352550</xdr:rowOff>
    </xdr:to>
    <xdr:pic>
      <xdr:nvPicPr>
        <xdr:cNvPr id="50" name="图片 49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45085" y="5521325"/>
          <a:ext cx="1426210" cy="1292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116840</xdr:colOff>
      <xdr:row>11</xdr:row>
      <xdr:rowOff>40640</xdr:rowOff>
    </xdr:from>
    <xdr:to>
      <xdr:col>0</xdr:col>
      <xdr:colOff>1391920</xdr:colOff>
      <xdr:row>11</xdr:row>
      <xdr:rowOff>1242060</xdr:rowOff>
    </xdr:to>
    <xdr:pic>
      <xdr:nvPicPr>
        <xdr:cNvPr id="53" name="图片 52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116840" y="8384540"/>
          <a:ext cx="1275080" cy="1201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181610</xdr:colOff>
      <xdr:row>78</xdr:row>
      <xdr:rowOff>479425</xdr:rowOff>
    </xdr:from>
    <xdr:to>
      <xdr:col>0</xdr:col>
      <xdr:colOff>1339215</xdr:colOff>
      <xdr:row>79</xdr:row>
      <xdr:rowOff>755650</xdr:rowOff>
    </xdr:to>
    <xdr:pic>
      <xdr:nvPicPr>
        <xdr:cNvPr id="42" name="图片 1"/>
        <xdr:cNvPicPr>
          <a:picLocks noChangeAspect="1"/>
        </xdr:cNvPicPr>
      </xdr:nvPicPr>
      <xdr:blipFill>
        <a:blip r:embed="rId30">
          <a:lum/>
        </a:blip>
        <a:stretch>
          <a:fillRect/>
        </a:stretch>
      </xdr:blipFill>
      <xdr:spPr>
        <a:xfrm>
          <a:off x="181610" y="49374425"/>
          <a:ext cx="1157605" cy="108902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40640</xdr:colOff>
      <xdr:row>68</xdr:row>
      <xdr:rowOff>17145</xdr:rowOff>
    </xdr:from>
    <xdr:to>
      <xdr:col>0</xdr:col>
      <xdr:colOff>1418590</xdr:colOff>
      <xdr:row>70</xdr:row>
      <xdr:rowOff>385445</xdr:rowOff>
    </xdr:to>
    <xdr:pic>
      <xdr:nvPicPr>
        <xdr:cNvPr id="2" name="图片 47" descr="1719118262255"/>
        <xdr:cNvPicPr>
          <a:picLocks noChangeAspect="1"/>
        </xdr:cNvPicPr>
      </xdr:nvPicPr>
      <xdr:blipFill>
        <a:blip r:embed="rId1">
          <a:lum/>
        </a:blip>
        <a:stretch>
          <a:fillRect/>
        </a:stretch>
      </xdr:blipFill>
      <xdr:spPr>
        <a:xfrm>
          <a:off x="40640" y="37380545"/>
          <a:ext cx="1377950" cy="1206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85725</xdr:colOff>
      <xdr:row>73</xdr:row>
      <xdr:rowOff>28575</xdr:rowOff>
    </xdr:from>
    <xdr:to>
      <xdr:col>0</xdr:col>
      <xdr:colOff>1488440</xdr:colOff>
      <xdr:row>77</xdr:row>
      <xdr:rowOff>67945</xdr:rowOff>
    </xdr:to>
    <xdr:pic>
      <xdr:nvPicPr>
        <xdr:cNvPr id="3" name="图片 48" descr="1719118304621"/>
        <xdr:cNvPicPr>
          <a:picLocks noChangeAspect="1"/>
        </xdr:cNvPicPr>
      </xdr:nvPicPr>
      <xdr:blipFill>
        <a:blip r:embed="rId2">
          <a:lum/>
        </a:blip>
        <a:stretch>
          <a:fillRect/>
        </a:stretch>
      </xdr:blipFill>
      <xdr:spPr>
        <a:xfrm>
          <a:off x="85725" y="39944675"/>
          <a:ext cx="1402715" cy="12077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64770</xdr:colOff>
      <xdr:row>86</xdr:row>
      <xdr:rowOff>46355</xdr:rowOff>
    </xdr:from>
    <xdr:to>
      <xdr:col>0</xdr:col>
      <xdr:colOff>1486535</xdr:colOff>
      <xdr:row>90</xdr:row>
      <xdr:rowOff>217805</xdr:rowOff>
    </xdr:to>
    <xdr:pic>
      <xdr:nvPicPr>
        <xdr:cNvPr id="4" name="图片 1"/>
        <xdr:cNvPicPr>
          <a:picLocks noChangeAspect="1"/>
        </xdr:cNvPicPr>
      </xdr:nvPicPr>
      <xdr:blipFill>
        <a:blip r:embed="rId3">
          <a:lum/>
        </a:blip>
        <a:stretch>
          <a:fillRect/>
        </a:stretch>
      </xdr:blipFill>
      <xdr:spPr>
        <a:xfrm>
          <a:off x="64770" y="43950255"/>
          <a:ext cx="1421765" cy="1339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133985</xdr:colOff>
      <xdr:row>59</xdr:row>
      <xdr:rowOff>71755</xdr:rowOff>
    </xdr:from>
    <xdr:to>
      <xdr:col>0</xdr:col>
      <xdr:colOff>1353185</xdr:colOff>
      <xdr:row>63</xdr:row>
      <xdr:rowOff>224155</xdr:rowOff>
    </xdr:to>
    <xdr:pic>
      <xdr:nvPicPr>
        <xdr:cNvPr id="5" name="图片 3"/>
        <xdr:cNvPicPr>
          <a:picLocks noChangeAspect="1"/>
        </xdr:cNvPicPr>
      </xdr:nvPicPr>
      <xdr:blipFill>
        <a:blip r:embed="rId4">
          <a:lum/>
        </a:blip>
        <a:stretch>
          <a:fillRect/>
        </a:stretch>
      </xdr:blipFill>
      <xdr:spPr>
        <a:xfrm>
          <a:off x="133985" y="33510855"/>
          <a:ext cx="121920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104775</xdr:colOff>
      <xdr:row>91</xdr:row>
      <xdr:rowOff>56515</xdr:rowOff>
    </xdr:from>
    <xdr:to>
      <xdr:col>0</xdr:col>
      <xdr:colOff>1486535</xdr:colOff>
      <xdr:row>96</xdr:row>
      <xdr:rowOff>160655</xdr:rowOff>
    </xdr:to>
    <xdr:pic>
      <xdr:nvPicPr>
        <xdr:cNvPr id="6" name="图片 6"/>
        <xdr:cNvPicPr>
          <a:picLocks noChangeAspect="1"/>
        </xdr:cNvPicPr>
      </xdr:nvPicPr>
      <xdr:blipFill>
        <a:blip r:embed="rId5">
          <a:lum/>
        </a:blip>
        <a:stretch>
          <a:fillRect/>
        </a:stretch>
      </xdr:blipFill>
      <xdr:spPr>
        <a:xfrm>
          <a:off x="104775" y="45420915"/>
          <a:ext cx="1381760" cy="1374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105410</xdr:colOff>
      <xdr:row>53</xdr:row>
      <xdr:rowOff>215265</xdr:rowOff>
    </xdr:from>
    <xdr:to>
      <xdr:col>0</xdr:col>
      <xdr:colOff>1430020</xdr:colOff>
      <xdr:row>58</xdr:row>
      <xdr:rowOff>62230</xdr:rowOff>
    </xdr:to>
    <xdr:pic>
      <xdr:nvPicPr>
        <xdr:cNvPr id="7" name="图片 5"/>
        <xdr:cNvPicPr>
          <a:picLocks noChangeAspect="1"/>
        </xdr:cNvPicPr>
      </xdr:nvPicPr>
      <xdr:blipFill>
        <a:blip r:embed="rId6">
          <a:lum/>
        </a:blip>
        <a:stretch>
          <a:fillRect/>
        </a:stretch>
      </xdr:blipFill>
      <xdr:spPr>
        <a:xfrm>
          <a:off x="105410" y="32054165"/>
          <a:ext cx="1324610" cy="1180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104775</xdr:colOff>
      <xdr:row>64</xdr:row>
      <xdr:rowOff>28575</xdr:rowOff>
    </xdr:from>
    <xdr:to>
      <xdr:col>0</xdr:col>
      <xdr:colOff>1371600</xdr:colOff>
      <xdr:row>65</xdr:row>
      <xdr:rowOff>542925</xdr:rowOff>
    </xdr:to>
    <xdr:pic>
      <xdr:nvPicPr>
        <xdr:cNvPr id="8" name="图片 4"/>
        <xdr:cNvPicPr>
          <a:picLocks noChangeAspect="1"/>
        </xdr:cNvPicPr>
      </xdr:nvPicPr>
      <xdr:blipFill>
        <a:blip r:embed="rId7">
          <a:lum/>
        </a:blip>
        <a:stretch>
          <a:fillRect/>
        </a:stretch>
      </xdr:blipFill>
      <xdr:spPr>
        <a:xfrm>
          <a:off x="104775" y="34801175"/>
          <a:ext cx="1266825" cy="1162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76200</xdr:colOff>
      <xdr:row>66</xdr:row>
      <xdr:rowOff>57150</xdr:rowOff>
    </xdr:from>
    <xdr:to>
      <xdr:col>0</xdr:col>
      <xdr:colOff>1352550</xdr:colOff>
      <xdr:row>67</xdr:row>
      <xdr:rowOff>600075</xdr:rowOff>
    </xdr:to>
    <xdr:pic>
      <xdr:nvPicPr>
        <xdr:cNvPr id="9" name="图片 13"/>
        <xdr:cNvPicPr>
          <a:picLocks noChangeAspect="1"/>
        </xdr:cNvPicPr>
      </xdr:nvPicPr>
      <xdr:blipFill>
        <a:blip r:embed="rId8">
          <a:lum/>
        </a:blip>
        <a:stretch>
          <a:fillRect/>
        </a:stretch>
      </xdr:blipFill>
      <xdr:spPr>
        <a:xfrm>
          <a:off x="76200" y="36125150"/>
          <a:ext cx="1276350" cy="1190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152400</xdr:colOff>
      <xdr:row>49</xdr:row>
      <xdr:rowOff>28575</xdr:rowOff>
    </xdr:from>
    <xdr:to>
      <xdr:col>0</xdr:col>
      <xdr:colOff>1390650</xdr:colOff>
      <xdr:row>52</xdr:row>
      <xdr:rowOff>273685</xdr:rowOff>
    </xdr:to>
    <xdr:pic>
      <xdr:nvPicPr>
        <xdr:cNvPr id="10" name="图片 14"/>
        <xdr:cNvPicPr>
          <a:picLocks noChangeAspect="1"/>
        </xdr:cNvPicPr>
      </xdr:nvPicPr>
      <xdr:blipFill>
        <a:blip r:embed="rId9">
          <a:lum/>
        </a:blip>
        <a:stretch>
          <a:fillRect/>
        </a:stretch>
      </xdr:blipFill>
      <xdr:spPr>
        <a:xfrm>
          <a:off x="152400" y="30597475"/>
          <a:ext cx="1238250" cy="1197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95250</xdr:colOff>
      <xdr:row>71</xdr:row>
      <xdr:rowOff>57150</xdr:rowOff>
    </xdr:from>
    <xdr:to>
      <xdr:col>0</xdr:col>
      <xdr:colOff>1369060</xdr:colOff>
      <xdr:row>72</xdr:row>
      <xdr:rowOff>618490</xdr:rowOff>
    </xdr:to>
    <xdr:pic>
      <xdr:nvPicPr>
        <xdr:cNvPr id="11" name="图片 10"/>
        <xdr:cNvPicPr>
          <a:picLocks noChangeAspect="1"/>
        </xdr:cNvPicPr>
      </xdr:nvPicPr>
      <xdr:blipFill>
        <a:blip r:embed="rId10">
          <a:lum/>
        </a:blip>
        <a:stretch>
          <a:fillRect/>
        </a:stretch>
      </xdr:blipFill>
      <xdr:spPr>
        <a:xfrm>
          <a:off x="95250" y="38677850"/>
          <a:ext cx="1273810" cy="12090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115570</xdr:colOff>
      <xdr:row>77</xdr:row>
      <xdr:rowOff>152400</xdr:rowOff>
    </xdr:from>
    <xdr:to>
      <xdr:col>0</xdr:col>
      <xdr:colOff>1482090</xdr:colOff>
      <xdr:row>81</xdr:row>
      <xdr:rowOff>227330</xdr:rowOff>
    </xdr:to>
    <xdr:pic>
      <xdr:nvPicPr>
        <xdr:cNvPr id="12" name="图片 11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15570" y="41236900"/>
          <a:ext cx="1366520" cy="1243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69850</xdr:colOff>
      <xdr:row>12</xdr:row>
      <xdr:rowOff>45720</xdr:rowOff>
    </xdr:from>
    <xdr:to>
      <xdr:col>0</xdr:col>
      <xdr:colOff>1562100</xdr:colOff>
      <xdr:row>13</xdr:row>
      <xdr:rowOff>614045</xdr:rowOff>
    </xdr:to>
    <xdr:pic>
      <xdr:nvPicPr>
        <xdr:cNvPr id="13" name="图片 12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69850" y="12250420"/>
          <a:ext cx="1492250" cy="1292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109220</xdr:colOff>
      <xdr:row>41</xdr:row>
      <xdr:rowOff>77470</xdr:rowOff>
    </xdr:from>
    <xdr:to>
      <xdr:col>0</xdr:col>
      <xdr:colOff>1460500</xdr:colOff>
      <xdr:row>44</xdr:row>
      <xdr:rowOff>256540</xdr:rowOff>
    </xdr:to>
    <xdr:pic>
      <xdr:nvPicPr>
        <xdr:cNvPr id="14" name="图片 13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09220" y="27687270"/>
          <a:ext cx="1351280" cy="1131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85725</xdr:colOff>
      <xdr:row>39</xdr:row>
      <xdr:rowOff>37465</xdr:rowOff>
    </xdr:from>
    <xdr:to>
      <xdr:col>0</xdr:col>
      <xdr:colOff>1379855</xdr:colOff>
      <xdr:row>40</xdr:row>
      <xdr:rowOff>592455</xdr:rowOff>
    </xdr:to>
    <xdr:pic>
      <xdr:nvPicPr>
        <xdr:cNvPr id="15" name="图片 1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85725" y="26402665"/>
          <a:ext cx="1294130" cy="11772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141605</xdr:colOff>
      <xdr:row>7</xdr:row>
      <xdr:rowOff>27940</xdr:rowOff>
    </xdr:from>
    <xdr:to>
      <xdr:col>0</xdr:col>
      <xdr:colOff>1471930</xdr:colOff>
      <xdr:row>7</xdr:row>
      <xdr:rowOff>1172845</xdr:rowOff>
    </xdr:to>
    <xdr:pic>
      <xdr:nvPicPr>
        <xdr:cNvPr id="16" name="图片 15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41605" y="6987540"/>
          <a:ext cx="1330325" cy="1144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57150</xdr:colOff>
      <xdr:row>37</xdr:row>
      <xdr:rowOff>53975</xdr:rowOff>
    </xdr:from>
    <xdr:to>
      <xdr:col>0</xdr:col>
      <xdr:colOff>1490345</xdr:colOff>
      <xdr:row>38</xdr:row>
      <xdr:rowOff>645795</xdr:rowOff>
    </xdr:to>
    <xdr:pic>
      <xdr:nvPicPr>
        <xdr:cNvPr id="17" name="图片 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57150" y="24996775"/>
          <a:ext cx="1433195" cy="1303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77470</xdr:colOff>
      <xdr:row>46</xdr:row>
      <xdr:rowOff>40640</xdr:rowOff>
    </xdr:from>
    <xdr:to>
      <xdr:col>0</xdr:col>
      <xdr:colOff>1492250</xdr:colOff>
      <xdr:row>48</xdr:row>
      <xdr:rowOff>370840</xdr:rowOff>
    </xdr:to>
    <xdr:pic>
      <xdr:nvPicPr>
        <xdr:cNvPr id="18" name="图片 17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77470" y="29237940"/>
          <a:ext cx="1414780" cy="1244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172085</xdr:colOff>
      <xdr:row>36</xdr:row>
      <xdr:rowOff>25400</xdr:rowOff>
    </xdr:from>
    <xdr:to>
      <xdr:col>0</xdr:col>
      <xdr:colOff>1506855</xdr:colOff>
      <xdr:row>36</xdr:row>
      <xdr:rowOff>1248410</xdr:rowOff>
    </xdr:to>
    <xdr:pic>
      <xdr:nvPicPr>
        <xdr:cNvPr id="19" name="图片 18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72085" y="23660100"/>
          <a:ext cx="1334770" cy="1223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164465</xdr:colOff>
      <xdr:row>32</xdr:row>
      <xdr:rowOff>31750</xdr:rowOff>
    </xdr:from>
    <xdr:to>
      <xdr:col>0</xdr:col>
      <xdr:colOff>1439545</xdr:colOff>
      <xdr:row>33</xdr:row>
      <xdr:rowOff>572135</xdr:rowOff>
    </xdr:to>
    <xdr:pic>
      <xdr:nvPicPr>
        <xdr:cNvPr id="20" name="图片 19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64465" y="21329650"/>
          <a:ext cx="1275080" cy="1124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158750</xdr:colOff>
      <xdr:row>6</xdr:row>
      <xdr:rowOff>27940</xdr:rowOff>
    </xdr:from>
    <xdr:to>
      <xdr:col>0</xdr:col>
      <xdr:colOff>1493520</xdr:colOff>
      <xdr:row>6</xdr:row>
      <xdr:rowOff>1257300</xdr:rowOff>
    </xdr:to>
    <xdr:pic>
      <xdr:nvPicPr>
        <xdr:cNvPr id="21" name="图片 20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58750" y="5679440"/>
          <a:ext cx="1334770" cy="1229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83185</xdr:colOff>
      <xdr:row>27</xdr:row>
      <xdr:rowOff>44450</xdr:rowOff>
    </xdr:from>
    <xdr:to>
      <xdr:col>0</xdr:col>
      <xdr:colOff>1560830</xdr:colOff>
      <xdr:row>29</xdr:row>
      <xdr:rowOff>409575</xdr:rowOff>
    </xdr:to>
    <xdr:pic>
      <xdr:nvPicPr>
        <xdr:cNvPr id="22" name="图片 21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83185" y="18611850"/>
          <a:ext cx="1477645" cy="1304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74295</xdr:colOff>
      <xdr:row>24</xdr:row>
      <xdr:rowOff>45720</xdr:rowOff>
    </xdr:from>
    <xdr:to>
      <xdr:col>0</xdr:col>
      <xdr:colOff>1560195</xdr:colOff>
      <xdr:row>26</xdr:row>
      <xdr:rowOff>403225</xdr:rowOff>
    </xdr:to>
    <xdr:pic>
      <xdr:nvPicPr>
        <xdr:cNvPr id="23" name="图片 22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74295" y="17165320"/>
          <a:ext cx="1485900" cy="1322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72390</xdr:colOff>
      <xdr:row>82</xdr:row>
      <xdr:rowOff>65405</xdr:rowOff>
    </xdr:from>
    <xdr:to>
      <xdr:col>0</xdr:col>
      <xdr:colOff>1470025</xdr:colOff>
      <xdr:row>85</xdr:row>
      <xdr:rowOff>243840</xdr:rowOff>
    </xdr:to>
    <xdr:pic>
      <xdr:nvPicPr>
        <xdr:cNvPr id="24" name="图片 23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72390" y="42610405"/>
          <a:ext cx="1397635" cy="1194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152400</xdr:colOff>
      <xdr:row>30</xdr:row>
      <xdr:rowOff>38100</xdr:rowOff>
    </xdr:from>
    <xdr:to>
      <xdr:col>0</xdr:col>
      <xdr:colOff>1510030</xdr:colOff>
      <xdr:row>31</xdr:row>
      <xdr:rowOff>570230</xdr:rowOff>
    </xdr:to>
    <xdr:pic>
      <xdr:nvPicPr>
        <xdr:cNvPr id="25" name="图片 24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52400" y="20015200"/>
          <a:ext cx="1357630" cy="1243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172720</xdr:colOff>
      <xdr:row>4</xdr:row>
      <xdr:rowOff>31115</xdr:rowOff>
    </xdr:from>
    <xdr:to>
      <xdr:col>0</xdr:col>
      <xdr:colOff>1569720</xdr:colOff>
      <xdr:row>4</xdr:row>
      <xdr:rowOff>1344295</xdr:rowOff>
    </xdr:to>
    <xdr:pic>
      <xdr:nvPicPr>
        <xdr:cNvPr id="26" name="图片 25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72720" y="2888615"/>
          <a:ext cx="1397000" cy="1313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168910</xdr:colOff>
      <xdr:row>2</xdr:row>
      <xdr:rowOff>86995</xdr:rowOff>
    </xdr:from>
    <xdr:to>
      <xdr:col>0</xdr:col>
      <xdr:colOff>1588135</xdr:colOff>
      <xdr:row>3</xdr:row>
      <xdr:rowOff>657225</xdr:rowOff>
    </xdr:to>
    <xdr:pic>
      <xdr:nvPicPr>
        <xdr:cNvPr id="27" name="图片 26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68910" y="1522095"/>
          <a:ext cx="1419225" cy="128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167005</xdr:colOff>
      <xdr:row>8</xdr:row>
      <xdr:rowOff>38735</xdr:rowOff>
    </xdr:from>
    <xdr:to>
      <xdr:col>0</xdr:col>
      <xdr:colOff>1447800</xdr:colOff>
      <xdr:row>8</xdr:row>
      <xdr:rowOff>1169670</xdr:rowOff>
    </xdr:to>
    <xdr:pic>
      <xdr:nvPicPr>
        <xdr:cNvPr id="30" name="图片 29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167005" y="8204835"/>
          <a:ext cx="1280795" cy="1130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73025</xdr:colOff>
      <xdr:row>21</xdr:row>
      <xdr:rowOff>31750</xdr:rowOff>
    </xdr:from>
    <xdr:to>
      <xdr:col>0</xdr:col>
      <xdr:colOff>1525905</xdr:colOff>
      <xdr:row>23</xdr:row>
      <xdr:rowOff>393700</xdr:rowOff>
    </xdr:to>
    <xdr:pic>
      <xdr:nvPicPr>
        <xdr:cNvPr id="31" name="图片 30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73025" y="15817850"/>
          <a:ext cx="1452880" cy="1250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159385</xdr:colOff>
      <xdr:row>34</xdr:row>
      <xdr:rowOff>13335</xdr:rowOff>
    </xdr:from>
    <xdr:to>
      <xdr:col>0</xdr:col>
      <xdr:colOff>1425575</xdr:colOff>
      <xdr:row>35</xdr:row>
      <xdr:rowOff>572770</xdr:rowOff>
    </xdr:to>
    <xdr:pic>
      <xdr:nvPicPr>
        <xdr:cNvPr id="32" name="图片 31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59385" y="22479635"/>
          <a:ext cx="1266190" cy="1143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384175</xdr:colOff>
      <xdr:row>0</xdr:row>
      <xdr:rowOff>41910</xdr:rowOff>
    </xdr:from>
    <xdr:to>
      <xdr:col>6</xdr:col>
      <xdr:colOff>546100</xdr:colOff>
      <xdr:row>0</xdr:row>
      <xdr:rowOff>1051560</xdr:rowOff>
    </xdr:to>
    <xdr:pic>
      <xdr:nvPicPr>
        <xdr:cNvPr id="34" name="图片 15"/>
        <xdr:cNvPicPr>
          <a:picLocks noChangeAspect="1"/>
        </xdr:cNvPicPr>
      </xdr:nvPicPr>
      <xdr:blipFill>
        <a:blip r:embed="rId29">
          <a:lum/>
        </a:blip>
        <a:stretch>
          <a:fillRect/>
        </a:stretch>
      </xdr:blipFill>
      <xdr:spPr>
        <a:xfrm>
          <a:off x="6393180" y="41910"/>
          <a:ext cx="100965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86360</xdr:colOff>
      <xdr:row>10</xdr:row>
      <xdr:rowOff>69850</xdr:rowOff>
    </xdr:from>
    <xdr:to>
      <xdr:col>0</xdr:col>
      <xdr:colOff>1550035</xdr:colOff>
      <xdr:row>11</xdr:row>
      <xdr:rowOff>635000</xdr:rowOff>
    </xdr:to>
    <xdr:pic>
      <xdr:nvPicPr>
        <xdr:cNvPr id="28" name="ID_A753DBF717864605A81AD5FA2B33CEEB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86360" y="10852150"/>
          <a:ext cx="1463675" cy="1276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66675</xdr:colOff>
      <xdr:row>14</xdr:row>
      <xdr:rowOff>37465</xdr:rowOff>
    </xdr:from>
    <xdr:to>
      <xdr:col>0</xdr:col>
      <xdr:colOff>1593850</xdr:colOff>
      <xdr:row>18</xdr:row>
      <xdr:rowOff>168275</xdr:rowOff>
    </xdr:to>
    <xdr:pic>
      <xdr:nvPicPr>
        <xdr:cNvPr id="33" name="图片 32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66675" y="13689965"/>
          <a:ext cx="1527175" cy="1350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171450</xdr:colOff>
      <xdr:row>5</xdr:row>
      <xdr:rowOff>88900</xdr:rowOff>
    </xdr:from>
    <xdr:to>
      <xdr:col>0</xdr:col>
      <xdr:colOff>1435100</xdr:colOff>
      <xdr:row>5</xdr:row>
      <xdr:rowOff>1322705</xdr:rowOff>
    </xdr:to>
    <xdr:pic>
      <xdr:nvPicPr>
        <xdr:cNvPr id="29" name="图片 28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71450" y="4330700"/>
          <a:ext cx="1263650" cy="1233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104775</xdr:colOff>
      <xdr:row>9</xdr:row>
      <xdr:rowOff>25400</xdr:rowOff>
    </xdr:from>
    <xdr:to>
      <xdr:col>0</xdr:col>
      <xdr:colOff>1485265</xdr:colOff>
      <xdr:row>9</xdr:row>
      <xdr:rowOff>1353820</xdr:rowOff>
    </xdr:to>
    <xdr:pic>
      <xdr:nvPicPr>
        <xdr:cNvPr id="36" name="图片 35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104775" y="9398000"/>
          <a:ext cx="1380490" cy="132842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304800</xdr:colOff>
      <xdr:row>175</xdr:row>
      <xdr:rowOff>76200</xdr:rowOff>
    </xdr:from>
    <xdr:to>
      <xdr:col>0</xdr:col>
      <xdr:colOff>1533525</xdr:colOff>
      <xdr:row>175</xdr:row>
      <xdr:rowOff>1143000</xdr:rowOff>
    </xdr:to>
    <xdr:pic>
      <xdr:nvPicPr>
        <xdr:cNvPr id="15361" name="图片 1"/>
        <xdr:cNvPicPr>
          <a:picLocks noChangeAspect="1"/>
        </xdr:cNvPicPr>
      </xdr:nvPicPr>
      <xdr:blipFill>
        <a:blip r:embed="rId1">
          <a:lum/>
        </a:blip>
        <a:stretch>
          <a:fillRect/>
        </a:stretch>
      </xdr:blipFill>
      <xdr:spPr>
        <a:xfrm>
          <a:off x="304800" y="56692800"/>
          <a:ext cx="1228725" cy="1066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285750</xdr:colOff>
      <xdr:row>176</xdr:row>
      <xdr:rowOff>19050</xdr:rowOff>
    </xdr:from>
    <xdr:to>
      <xdr:col>0</xdr:col>
      <xdr:colOff>1514475</xdr:colOff>
      <xdr:row>176</xdr:row>
      <xdr:rowOff>1133475</xdr:rowOff>
    </xdr:to>
    <xdr:pic>
      <xdr:nvPicPr>
        <xdr:cNvPr id="15362" name="图片 5"/>
        <xdr:cNvPicPr>
          <a:picLocks noChangeAspect="1"/>
        </xdr:cNvPicPr>
      </xdr:nvPicPr>
      <xdr:blipFill>
        <a:blip r:embed="rId2">
          <a:lum/>
        </a:blip>
        <a:stretch>
          <a:fillRect/>
        </a:stretch>
      </xdr:blipFill>
      <xdr:spPr>
        <a:xfrm>
          <a:off x="285750" y="57829450"/>
          <a:ext cx="1228725" cy="1114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295275</xdr:colOff>
      <xdr:row>177</xdr:row>
      <xdr:rowOff>76200</xdr:rowOff>
    </xdr:from>
    <xdr:to>
      <xdr:col>0</xdr:col>
      <xdr:colOff>1638300</xdr:colOff>
      <xdr:row>177</xdr:row>
      <xdr:rowOff>1295400</xdr:rowOff>
    </xdr:to>
    <xdr:pic>
      <xdr:nvPicPr>
        <xdr:cNvPr id="15363" name="图片 7"/>
        <xdr:cNvPicPr>
          <a:picLocks noChangeAspect="1"/>
        </xdr:cNvPicPr>
      </xdr:nvPicPr>
      <xdr:blipFill>
        <a:blip r:embed="rId3">
          <a:lum/>
        </a:blip>
        <a:stretch>
          <a:fillRect/>
        </a:stretch>
      </xdr:blipFill>
      <xdr:spPr>
        <a:xfrm>
          <a:off x="295275" y="59080400"/>
          <a:ext cx="1343025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228600</xdr:colOff>
      <xdr:row>178</xdr:row>
      <xdr:rowOff>52705</xdr:rowOff>
    </xdr:from>
    <xdr:to>
      <xdr:col>0</xdr:col>
      <xdr:colOff>1626235</xdr:colOff>
      <xdr:row>178</xdr:row>
      <xdr:rowOff>1375410</xdr:rowOff>
    </xdr:to>
    <xdr:pic>
      <xdr:nvPicPr>
        <xdr:cNvPr id="15373" name="图片 21" descr="1679819553464"/>
        <xdr:cNvPicPr>
          <a:picLocks noChangeAspect="1"/>
        </xdr:cNvPicPr>
      </xdr:nvPicPr>
      <xdr:blipFill>
        <a:blip r:embed="rId4">
          <a:lum/>
        </a:blip>
        <a:stretch>
          <a:fillRect/>
        </a:stretch>
      </xdr:blipFill>
      <xdr:spPr>
        <a:xfrm>
          <a:off x="228600" y="60390405"/>
          <a:ext cx="1397635" cy="13227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285750</xdr:colOff>
      <xdr:row>181</xdr:row>
      <xdr:rowOff>38100</xdr:rowOff>
    </xdr:from>
    <xdr:to>
      <xdr:col>0</xdr:col>
      <xdr:colOff>1409700</xdr:colOff>
      <xdr:row>181</xdr:row>
      <xdr:rowOff>1057275</xdr:rowOff>
    </xdr:to>
    <xdr:pic>
      <xdr:nvPicPr>
        <xdr:cNvPr id="15383" name="图片 23"/>
        <xdr:cNvPicPr>
          <a:picLocks noChangeAspect="1"/>
        </xdr:cNvPicPr>
      </xdr:nvPicPr>
      <xdr:blipFill>
        <a:blip r:embed="rId5">
          <a:lum/>
        </a:blip>
        <a:stretch>
          <a:fillRect/>
        </a:stretch>
      </xdr:blipFill>
      <xdr:spPr>
        <a:xfrm>
          <a:off x="285750" y="64274700"/>
          <a:ext cx="1123950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400050</xdr:colOff>
      <xdr:row>182</xdr:row>
      <xdr:rowOff>38100</xdr:rowOff>
    </xdr:from>
    <xdr:to>
      <xdr:col>0</xdr:col>
      <xdr:colOff>1190625</xdr:colOff>
      <xdr:row>182</xdr:row>
      <xdr:rowOff>1057275</xdr:rowOff>
    </xdr:to>
    <xdr:pic>
      <xdr:nvPicPr>
        <xdr:cNvPr id="15384" name="图片 24"/>
        <xdr:cNvPicPr>
          <a:picLocks noChangeAspect="1"/>
        </xdr:cNvPicPr>
      </xdr:nvPicPr>
      <xdr:blipFill>
        <a:blip r:embed="rId6">
          <a:lum/>
        </a:blip>
        <a:stretch>
          <a:fillRect/>
        </a:stretch>
      </xdr:blipFill>
      <xdr:spPr>
        <a:xfrm>
          <a:off x="400050" y="65379600"/>
          <a:ext cx="790575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190500</xdr:colOff>
      <xdr:row>179</xdr:row>
      <xdr:rowOff>34925</xdr:rowOff>
    </xdr:from>
    <xdr:to>
      <xdr:col>0</xdr:col>
      <xdr:colOff>1433195</xdr:colOff>
      <xdr:row>179</xdr:row>
      <xdr:rowOff>1330960</xdr:rowOff>
    </xdr:to>
    <xdr:pic>
      <xdr:nvPicPr>
        <xdr:cNvPr id="6" name="图片 5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90500" y="61769625"/>
          <a:ext cx="1242695" cy="1296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129540</xdr:colOff>
      <xdr:row>15</xdr:row>
      <xdr:rowOff>100965</xdr:rowOff>
    </xdr:from>
    <xdr:to>
      <xdr:col>0</xdr:col>
      <xdr:colOff>1584325</xdr:colOff>
      <xdr:row>15</xdr:row>
      <xdr:rowOff>1393825</xdr:rowOff>
    </xdr:to>
    <xdr:pic>
      <xdr:nvPicPr>
        <xdr:cNvPr id="5" name="ID_681293AAF88C4A21BCE4AAC23EA61D80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29540" y="9854565"/>
          <a:ext cx="1454785" cy="1292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154940</xdr:colOff>
      <xdr:row>18</xdr:row>
      <xdr:rowOff>149225</xdr:rowOff>
    </xdr:from>
    <xdr:to>
      <xdr:col>0</xdr:col>
      <xdr:colOff>1692275</xdr:colOff>
      <xdr:row>23</xdr:row>
      <xdr:rowOff>237490</xdr:rowOff>
    </xdr:to>
    <xdr:pic>
      <xdr:nvPicPr>
        <xdr:cNvPr id="2" name="ID_D729F6AED1D341909CEA843D3426B279"/>
        <xdr:cNvPicPr>
          <a:picLocks noChangeAspect="1"/>
        </xdr:cNvPicPr>
      </xdr:nvPicPr>
      <xdr:blipFill>
        <a:blip r:embed="rId9">
          <a:lum/>
        </a:blip>
        <a:stretch>
          <a:fillRect/>
        </a:stretch>
      </xdr:blipFill>
      <xdr:spPr>
        <a:xfrm>
          <a:off x="154940" y="12709525"/>
          <a:ext cx="1537335" cy="1485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170180</xdr:colOff>
      <xdr:row>32</xdr:row>
      <xdr:rowOff>24130</xdr:rowOff>
    </xdr:from>
    <xdr:to>
      <xdr:col>0</xdr:col>
      <xdr:colOff>1712595</xdr:colOff>
      <xdr:row>37</xdr:row>
      <xdr:rowOff>198755</xdr:rowOff>
    </xdr:to>
    <xdr:pic>
      <xdr:nvPicPr>
        <xdr:cNvPr id="15374" name="ID_EF94F0C72DBB4F3F86B422B7B30128D9"/>
        <xdr:cNvPicPr>
          <a:picLocks noChangeAspect="1"/>
        </xdr:cNvPicPr>
      </xdr:nvPicPr>
      <xdr:blipFill>
        <a:blip r:embed="rId10">
          <a:lum/>
        </a:blip>
        <a:stretch>
          <a:fillRect/>
        </a:stretch>
      </xdr:blipFill>
      <xdr:spPr>
        <a:xfrm>
          <a:off x="170180" y="16496030"/>
          <a:ext cx="1542415" cy="1508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185420</xdr:colOff>
      <xdr:row>37</xdr:row>
      <xdr:rowOff>271145</xdr:rowOff>
    </xdr:from>
    <xdr:to>
      <xdr:col>0</xdr:col>
      <xdr:colOff>1709420</xdr:colOff>
      <xdr:row>43</xdr:row>
      <xdr:rowOff>118745</xdr:rowOff>
    </xdr:to>
    <xdr:pic>
      <xdr:nvPicPr>
        <xdr:cNvPr id="15375" name="ID_0B4FECB9AF754A6EB98A0EDF15DB647F"/>
        <xdr:cNvPicPr>
          <a:picLocks noChangeAspect="1"/>
        </xdr:cNvPicPr>
      </xdr:nvPicPr>
      <xdr:blipFill>
        <a:blip r:embed="rId11">
          <a:lum/>
        </a:blip>
        <a:stretch>
          <a:fillRect/>
        </a:stretch>
      </xdr:blipFill>
      <xdr:spPr>
        <a:xfrm>
          <a:off x="185420" y="18072100"/>
          <a:ext cx="1524000" cy="14522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93980</xdr:colOff>
      <xdr:row>49</xdr:row>
      <xdr:rowOff>78105</xdr:rowOff>
    </xdr:from>
    <xdr:to>
      <xdr:col>0</xdr:col>
      <xdr:colOff>1638935</xdr:colOff>
      <xdr:row>55</xdr:row>
      <xdr:rowOff>159385</xdr:rowOff>
    </xdr:to>
    <xdr:pic>
      <xdr:nvPicPr>
        <xdr:cNvPr id="3" name="ID_712CC05D663F4F4F8BD90722AE81C4C6" descr="1678075727562"/>
        <xdr:cNvPicPr>
          <a:picLocks noChangeAspect="1"/>
        </xdr:cNvPicPr>
      </xdr:nvPicPr>
      <xdr:blipFill>
        <a:blip r:embed="rId12">
          <a:lum/>
        </a:blip>
        <a:stretch>
          <a:fillRect/>
        </a:stretch>
      </xdr:blipFill>
      <xdr:spPr>
        <a:xfrm>
          <a:off x="93980" y="21083905"/>
          <a:ext cx="1544955" cy="1452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104775</xdr:colOff>
      <xdr:row>55</xdr:row>
      <xdr:rowOff>220345</xdr:rowOff>
    </xdr:from>
    <xdr:to>
      <xdr:col>0</xdr:col>
      <xdr:colOff>1628775</xdr:colOff>
      <xdr:row>62</xdr:row>
      <xdr:rowOff>150495</xdr:rowOff>
    </xdr:to>
    <xdr:pic>
      <xdr:nvPicPr>
        <xdr:cNvPr id="15378" name="ID_F6A6612FEDBE4024B9D952EA5A5FF97E"/>
        <xdr:cNvPicPr>
          <a:picLocks noChangeAspect="1"/>
        </xdr:cNvPicPr>
      </xdr:nvPicPr>
      <xdr:blipFill>
        <a:blip r:embed="rId13">
          <a:lum/>
        </a:blip>
        <a:srcRect l="13770" t="2370" r="13451" b="1659"/>
        <a:stretch>
          <a:fillRect/>
        </a:stretch>
      </xdr:blipFill>
      <xdr:spPr>
        <a:xfrm>
          <a:off x="104775" y="22597745"/>
          <a:ext cx="1524000" cy="1530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74930</xdr:colOff>
      <xdr:row>62</xdr:row>
      <xdr:rowOff>227330</xdr:rowOff>
    </xdr:from>
    <xdr:to>
      <xdr:col>0</xdr:col>
      <xdr:colOff>1677035</xdr:colOff>
      <xdr:row>70</xdr:row>
      <xdr:rowOff>29210</xdr:rowOff>
    </xdr:to>
    <xdr:pic>
      <xdr:nvPicPr>
        <xdr:cNvPr id="4" name="ID_E11B87262741483FB2900B09F0FB3E08"/>
        <xdr:cNvPicPr>
          <a:picLocks noChangeAspect="1"/>
        </xdr:cNvPicPr>
      </xdr:nvPicPr>
      <xdr:blipFill>
        <a:blip r:embed="rId14"/>
        <a:srcRect l="7944" r="4171"/>
        <a:stretch>
          <a:fillRect/>
        </a:stretch>
      </xdr:blipFill>
      <xdr:spPr>
        <a:xfrm>
          <a:off x="74930" y="24204930"/>
          <a:ext cx="1602105" cy="1630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209550</xdr:colOff>
      <xdr:row>75</xdr:row>
      <xdr:rowOff>85725</xdr:rowOff>
    </xdr:from>
    <xdr:to>
      <xdr:col>0</xdr:col>
      <xdr:colOff>1695450</xdr:colOff>
      <xdr:row>80</xdr:row>
      <xdr:rowOff>190500</xdr:rowOff>
    </xdr:to>
    <xdr:pic>
      <xdr:nvPicPr>
        <xdr:cNvPr id="15388" name="ID_EAB47C9B9ADB4658BFC9529526DF5726"/>
        <xdr:cNvPicPr>
          <a:picLocks noChangeAspect="1"/>
        </xdr:cNvPicPr>
      </xdr:nvPicPr>
      <xdr:blipFill>
        <a:blip r:embed="rId15">
          <a:lum/>
        </a:blip>
        <a:stretch>
          <a:fillRect/>
        </a:stretch>
      </xdr:blipFill>
      <xdr:spPr>
        <a:xfrm>
          <a:off x="209550" y="27035125"/>
          <a:ext cx="1485900" cy="1438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167640</xdr:colOff>
      <xdr:row>81</xdr:row>
      <xdr:rowOff>62230</xdr:rowOff>
    </xdr:from>
    <xdr:to>
      <xdr:col>0</xdr:col>
      <xdr:colOff>1737360</xdr:colOff>
      <xdr:row>86</xdr:row>
      <xdr:rowOff>213995</xdr:rowOff>
    </xdr:to>
    <xdr:pic>
      <xdr:nvPicPr>
        <xdr:cNvPr id="15364" name="ID_10871B97BC14489A88B49285055332AD" descr="234c55369950fc7149e8b401f9d4fba"/>
        <xdr:cNvPicPr>
          <a:picLocks noChangeAspect="1"/>
        </xdr:cNvPicPr>
      </xdr:nvPicPr>
      <xdr:blipFill>
        <a:blip r:embed="rId16">
          <a:lum/>
        </a:blip>
        <a:srcRect l="11783" t="2283" r="12660" b="1866"/>
        <a:stretch>
          <a:fillRect/>
        </a:stretch>
      </xdr:blipFill>
      <xdr:spPr>
        <a:xfrm>
          <a:off x="167640" y="28611830"/>
          <a:ext cx="1569720" cy="1485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161925</xdr:colOff>
      <xdr:row>88</xdr:row>
      <xdr:rowOff>137795</xdr:rowOff>
    </xdr:from>
    <xdr:to>
      <xdr:col>0</xdr:col>
      <xdr:colOff>1743075</xdr:colOff>
      <xdr:row>93</xdr:row>
      <xdr:rowOff>137795</xdr:rowOff>
    </xdr:to>
    <xdr:pic>
      <xdr:nvPicPr>
        <xdr:cNvPr id="15370" name="ID_ED3CE2D49D5743198671EDE24A8D7357" descr="2b7f5291997a3213baa82c87da75fc7"/>
        <xdr:cNvPicPr>
          <a:picLocks noChangeAspect="1"/>
        </xdr:cNvPicPr>
      </xdr:nvPicPr>
      <xdr:blipFill>
        <a:blip r:embed="rId17">
          <a:lum/>
        </a:blip>
        <a:srcRect l="9431" t="6271" r="12292" b="6520"/>
        <a:stretch>
          <a:fillRect/>
        </a:stretch>
      </xdr:blipFill>
      <xdr:spPr>
        <a:xfrm>
          <a:off x="161925" y="30554295"/>
          <a:ext cx="1581150" cy="1333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118745</xdr:colOff>
      <xdr:row>99</xdr:row>
      <xdr:rowOff>161925</xdr:rowOff>
    </xdr:from>
    <xdr:to>
      <xdr:col>0</xdr:col>
      <xdr:colOff>1785620</xdr:colOff>
      <xdr:row>103</xdr:row>
      <xdr:rowOff>9525</xdr:rowOff>
    </xdr:to>
    <xdr:pic>
      <xdr:nvPicPr>
        <xdr:cNvPr id="15365" name="ID_0B341556CF5245A3845D4D09D36F75D4" descr="ad4fe53beb94aacafc9e36e5c3c861b"/>
        <xdr:cNvPicPr>
          <a:picLocks noChangeAspect="1"/>
        </xdr:cNvPicPr>
      </xdr:nvPicPr>
      <xdr:blipFill>
        <a:blip r:embed="rId18">
          <a:lum/>
        </a:blip>
        <a:stretch>
          <a:fillRect/>
        </a:stretch>
      </xdr:blipFill>
      <xdr:spPr>
        <a:xfrm>
          <a:off x="118745" y="33512125"/>
          <a:ext cx="1666875" cy="1270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194945</xdr:colOff>
      <xdr:row>104</xdr:row>
      <xdr:rowOff>46355</xdr:rowOff>
    </xdr:from>
    <xdr:to>
      <xdr:col>0</xdr:col>
      <xdr:colOff>1710055</xdr:colOff>
      <xdr:row>108</xdr:row>
      <xdr:rowOff>125095</xdr:rowOff>
    </xdr:to>
    <xdr:pic>
      <xdr:nvPicPr>
        <xdr:cNvPr id="9" name="ID_68C4C4519EE2402F92DF2DBF26A05113"/>
        <xdr:cNvPicPr>
          <a:picLocks noChangeAspect="1"/>
        </xdr:cNvPicPr>
      </xdr:nvPicPr>
      <xdr:blipFill>
        <a:blip r:embed="rId19">
          <a:lum/>
        </a:blip>
        <a:stretch>
          <a:fillRect/>
        </a:stretch>
      </xdr:blipFill>
      <xdr:spPr>
        <a:xfrm>
          <a:off x="194945" y="35174555"/>
          <a:ext cx="1515110" cy="1501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219075</xdr:colOff>
      <xdr:row>109</xdr:row>
      <xdr:rowOff>69850</xdr:rowOff>
    </xdr:from>
    <xdr:to>
      <xdr:col>0</xdr:col>
      <xdr:colOff>1685925</xdr:colOff>
      <xdr:row>113</xdr:row>
      <xdr:rowOff>101600</xdr:rowOff>
    </xdr:to>
    <xdr:pic>
      <xdr:nvPicPr>
        <xdr:cNvPr id="15387" name="ID_06BBFC95BA63425DB074C6DCF9CCCDE3"/>
        <xdr:cNvPicPr>
          <a:picLocks noChangeAspect="1"/>
        </xdr:cNvPicPr>
      </xdr:nvPicPr>
      <xdr:blipFill>
        <a:blip r:embed="rId20">
          <a:lum/>
        </a:blip>
        <a:stretch>
          <a:fillRect/>
        </a:stretch>
      </xdr:blipFill>
      <xdr:spPr>
        <a:xfrm>
          <a:off x="219075" y="36976050"/>
          <a:ext cx="1466850" cy="1454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209550</xdr:colOff>
      <xdr:row>118</xdr:row>
      <xdr:rowOff>46990</xdr:rowOff>
    </xdr:from>
    <xdr:to>
      <xdr:col>0</xdr:col>
      <xdr:colOff>1695450</xdr:colOff>
      <xdr:row>123</xdr:row>
      <xdr:rowOff>210185</xdr:rowOff>
    </xdr:to>
    <xdr:pic>
      <xdr:nvPicPr>
        <xdr:cNvPr id="15368" name="ID_D56316E7DDCA47D4958EBDBD52BA9A3B" descr="1671767727414"/>
        <xdr:cNvPicPr>
          <a:picLocks noChangeAspect="1"/>
        </xdr:cNvPicPr>
      </xdr:nvPicPr>
      <xdr:blipFill>
        <a:blip r:embed="rId21">
          <a:lum/>
        </a:blip>
        <a:stretch>
          <a:fillRect/>
        </a:stretch>
      </xdr:blipFill>
      <xdr:spPr>
        <a:xfrm>
          <a:off x="209550" y="40153590"/>
          <a:ext cx="1485900" cy="14331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175895</xdr:colOff>
      <xdr:row>124</xdr:row>
      <xdr:rowOff>48895</xdr:rowOff>
    </xdr:from>
    <xdr:to>
      <xdr:col>0</xdr:col>
      <xdr:colOff>1728470</xdr:colOff>
      <xdr:row>129</xdr:row>
      <xdr:rowOff>207645</xdr:rowOff>
    </xdr:to>
    <xdr:pic>
      <xdr:nvPicPr>
        <xdr:cNvPr id="15366" name="ID_636E25A8A2D549629906D1ACA72A3456" descr="113c89d0cb9847026e5c4e1ddde2515"/>
        <xdr:cNvPicPr>
          <a:picLocks noChangeAspect="1"/>
        </xdr:cNvPicPr>
      </xdr:nvPicPr>
      <xdr:blipFill>
        <a:blip r:embed="rId22">
          <a:lum/>
        </a:blip>
        <a:srcRect l="6364" r="6221"/>
        <a:stretch>
          <a:fillRect/>
        </a:stretch>
      </xdr:blipFill>
      <xdr:spPr>
        <a:xfrm>
          <a:off x="175895" y="41679495"/>
          <a:ext cx="1552575" cy="1428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208915</xdr:colOff>
      <xdr:row>130</xdr:row>
      <xdr:rowOff>34925</xdr:rowOff>
    </xdr:from>
    <xdr:to>
      <xdr:col>0</xdr:col>
      <xdr:colOff>1695450</xdr:colOff>
      <xdr:row>135</xdr:row>
      <xdr:rowOff>222250</xdr:rowOff>
    </xdr:to>
    <xdr:pic>
      <xdr:nvPicPr>
        <xdr:cNvPr id="15379" name="ID_FC7DEF22C3C347F5BBB679285A60B75D"/>
        <xdr:cNvPicPr>
          <a:picLocks noChangeAspect="1"/>
        </xdr:cNvPicPr>
      </xdr:nvPicPr>
      <xdr:blipFill>
        <a:blip r:embed="rId23">
          <a:lum/>
        </a:blip>
        <a:stretch>
          <a:fillRect/>
        </a:stretch>
      </xdr:blipFill>
      <xdr:spPr>
        <a:xfrm>
          <a:off x="208915" y="43189525"/>
          <a:ext cx="1486535" cy="1457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152400</xdr:colOff>
      <xdr:row>153</xdr:row>
      <xdr:rowOff>42545</xdr:rowOff>
    </xdr:from>
    <xdr:to>
      <xdr:col>0</xdr:col>
      <xdr:colOff>1752600</xdr:colOff>
      <xdr:row>158</xdr:row>
      <xdr:rowOff>204470</xdr:rowOff>
    </xdr:to>
    <xdr:pic>
      <xdr:nvPicPr>
        <xdr:cNvPr id="15367" name="ID_4B7DD06B49AE4024A13A857F1EFC091F" descr="1670032588499"/>
        <xdr:cNvPicPr>
          <a:picLocks noChangeAspect="1"/>
        </xdr:cNvPicPr>
      </xdr:nvPicPr>
      <xdr:blipFill>
        <a:blip r:embed="rId24">
          <a:lum/>
        </a:blip>
        <a:srcRect l="4451"/>
        <a:stretch>
          <a:fillRect/>
        </a:stretch>
      </xdr:blipFill>
      <xdr:spPr>
        <a:xfrm>
          <a:off x="152400" y="49039145"/>
          <a:ext cx="1600200" cy="1368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156845</xdr:colOff>
      <xdr:row>159</xdr:row>
      <xdr:rowOff>42545</xdr:rowOff>
    </xdr:from>
    <xdr:to>
      <xdr:col>0</xdr:col>
      <xdr:colOff>1747520</xdr:colOff>
      <xdr:row>165</xdr:row>
      <xdr:rowOff>204470</xdr:rowOff>
    </xdr:to>
    <xdr:pic>
      <xdr:nvPicPr>
        <xdr:cNvPr id="15385" name="ID_812FF747257E4357BDB530FEAE2C171A"/>
        <xdr:cNvPicPr>
          <a:picLocks noChangeAspect="1"/>
        </xdr:cNvPicPr>
      </xdr:nvPicPr>
      <xdr:blipFill>
        <a:blip r:embed="rId25">
          <a:lum/>
        </a:blip>
        <a:stretch>
          <a:fillRect/>
        </a:stretch>
      </xdr:blipFill>
      <xdr:spPr>
        <a:xfrm>
          <a:off x="156845" y="50486945"/>
          <a:ext cx="1590675" cy="1609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226060</xdr:colOff>
      <xdr:row>173</xdr:row>
      <xdr:rowOff>82550</xdr:rowOff>
    </xdr:from>
    <xdr:to>
      <xdr:col>0</xdr:col>
      <xdr:colOff>1678305</xdr:colOff>
      <xdr:row>173</xdr:row>
      <xdr:rowOff>1316990</xdr:rowOff>
    </xdr:to>
    <xdr:pic>
      <xdr:nvPicPr>
        <xdr:cNvPr id="10" name="ID_3AC4EEBAE1054565B4FB28D4FA97E841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226060" y="53905150"/>
          <a:ext cx="1452245" cy="1234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180975</xdr:colOff>
      <xdr:row>180</xdr:row>
      <xdr:rowOff>24765</xdr:rowOff>
    </xdr:from>
    <xdr:to>
      <xdr:col>0</xdr:col>
      <xdr:colOff>1205230</xdr:colOff>
      <xdr:row>180</xdr:row>
      <xdr:rowOff>1062355</xdr:rowOff>
    </xdr:to>
    <xdr:pic>
      <xdr:nvPicPr>
        <xdr:cNvPr id="12" name="图片 11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80975" y="63156465"/>
          <a:ext cx="1024255" cy="1037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83820</xdr:colOff>
      <xdr:row>25</xdr:row>
      <xdr:rowOff>50800</xdr:rowOff>
    </xdr:from>
    <xdr:to>
      <xdr:col>0</xdr:col>
      <xdr:colOff>1762760</xdr:colOff>
      <xdr:row>31</xdr:row>
      <xdr:rowOff>6985</xdr:rowOff>
    </xdr:to>
    <xdr:pic>
      <xdr:nvPicPr>
        <xdr:cNvPr id="11" name="图片 10" descr="222"/>
        <xdr:cNvPicPr>
          <a:picLocks noChangeAspect="1"/>
        </xdr:cNvPicPr>
      </xdr:nvPicPr>
      <xdr:blipFill>
        <a:blip r:embed="rId28"/>
        <a:srcRect l="10476" r="9234" b="-3134"/>
        <a:stretch>
          <a:fillRect/>
        </a:stretch>
      </xdr:blipFill>
      <xdr:spPr>
        <a:xfrm>
          <a:off x="83820" y="14566900"/>
          <a:ext cx="1678940" cy="1632585"/>
        </a:xfrm>
        <a:prstGeom prst="rect">
          <a:avLst/>
        </a:prstGeom>
      </xdr:spPr>
    </xdr:pic>
    <xdr:clientData/>
  </xdr:twoCellAnchor>
  <xdr:twoCellAnchor editAs="oneCell">
    <xdr:from>
      <xdr:col>0</xdr:col>
      <xdr:colOff>210185</xdr:colOff>
      <xdr:row>5</xdr:row>
      <xdr:rowOff>14605</xdr:rowOff>
    </xdr:from>
    <xdr:to>
      <xdr:col>0</xdr:col>
      <xdr:colOff>1539875</xdr:colOff>
      <xdr:row>5</xdr:row>
      <xdr:rowOff>1340485</xdr:rowOff>
    </xdr:to>
    <xdr:pic>
      <xdr:nvPicPr>
        <xdr:cNvPr id="7" name="图片 6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210185" y="3951605"/>
          <a:ext cx="1329690" cy="1325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172085</xdr:colOff>
      <xdr:row>3</xdr:row>
      <xdr:rowOff>82550</xdr:rowOff>
    </xdr:from>
    <xdr:to>
      <xdr:col>0</xdr:col>
      <xdr:colOff>1505585</xdr:colOff>
      <xdr:row>4</xdr:row>
      <xdr:rowOff>612775</xdr:rowOff>
    </xdr:to>
    <xdr:pic>
      <xdr:nvPicPr>
        <xdr:cNvPr id="14" name="ID_FB13D6035951449F821F137DFCAEF168"/>
        <xdr:cNvPicPr>
          <a:picLocks noChangeAspect="1"/>
        </xdr:cNvPicPr>
      </xdr:nvPicPr>
      <xdr:blipFill>
        <a:blip r:embed="rId30">
          <a:lum/>
        </a:blip>
        <a:stretch>
          <a:fillRect/>
        </a:stretch>
      </xdr:blipFill>
      <xdr:spPr>
        <a:xfrm>
          <a:off x="172085" y="2724150"/>
          <a:ext cx="1333500" cy="1177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114300</xdr:colOff>
      <xdr:row>2</xdr:row>
      <xdr:rowOff>0</xdr:rowOff>
    </xdr:from>
    <xdr:to>
      <xdr:col>0</xdr:col>
      <xdr:colOff>1574165</xdr:colOff>
      <xdr:row>2</xdr:row>
      <xdr:rowOff>1392555</xdr:rowOff>
    </xdr:to>
    <xdr:pic>
      <xdr:nvPicPr>
        <xdr:cNvPr id="8" name="图片 7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14300" y="1231900"/>
          <a:ext cx="1459865" cy="1392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0</xdr:colOff>
      <xdr:row>133</xdr:row>
      <xdr:rowOff>120015</xdr:rowOff>
    </xdr:from>
    <xdr:to>
      <xdr:col>11</xdr:col>
      <xdr:colOff>666750</xdr:colOff>
      <xdr:row>137</xdr:row>
      <xdr:rowOff>15875</xdr:rowOff>
    </xdr:to>
    <xdr:pic>
      <xdr:nvPicPr>
        <xdr:cNvPr id="13" name="图片 12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1811000" y="44036615"/>
          <a:ext cx="1352550" cy="911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268605</xdr:colOff>
      <xdr:row>174</xdr:row>
      <xdr:rowOff>53975</xdr:rowOff>
    </xdr:from>
    <xdr:to>
      <xdr:col>0</xdr:col>
      <xdr:colOff>1581150</xdr:colOff>
      <xdr:row>174</xdr:row>
      <xdr:rowOff>1316355</xdr:rowOff>
    </xdr:to>
    <xdr:pic>
      <xdr:nvPicPr>
        <xdr:cNvPr id="15" name="图片 14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268605" y="55273575"/>
          <a:ext cx="1312545" cy="1262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95250</xdr:colOff>
      <xdr:row>16</xdr:row>
      <xdr:rowOff>44450</xdr:rowOff>
    </xdr:from>
    <xdr:to>
      <xdr:col>0</xdr:col>
      <xdr:colOff>1589405</xdr:colOff>
      <xdr:row>17</xdr:row>
      <xdr:rowOff>643890</xdr:rowOff>
    </xdr:to>
    <xdr:pic>
      <xdr:nvPicPr>
        <xdr:cNvPr id="16" name="图片 15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95250" y="11233150"/>
          <a:ext cx="1494155" cy="12852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152400</xdr:colOff>
      <xdr:row>6</xdr:row>
      <xdr:rowOff>28575</xdr:rowOff>
    </xdr:from>
    <xdr:to>
      <xdr:col>0</xdr:col>
      <xdr:colOff>1591945</xdr:colOff>
      <xdr:row>9</xdr:row>
      <xdr:rowOff>54610</xdr:rowOff>
    </xdr:to>
    <xdr:pic>
      <xdr:nvPicPr>
        <xdr:cNvPr id="17" name="图片 16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152400" y="5375275"/>
          <a:ext cx="1439545" cy="1283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171450</xdr:colOff>
      <xdr:row>9</xdr:row>
      <xdr:rowOff>66675</xdr:rowOff>
    </xdr:from>
    <xdr:to>
      <xdr:col>0</xdr:col>
      <xdr:colOff>1586865</xdr:colOff>
      <xdr:row>12</xdr:row>
      <xdr:rowOff>138430</xdr:rowOff>
    </xdr:to>
    <xdr:pic>
      <xdr:nvPicPr>
        <xdr:cNvPr id="21" name="图片 20" descr="X1金"/>
        <xdr:cNvPicPr>
          <a:picLocks noChangeAspect="1"/>
        </xdr:cNvPicPr>
      </xdr:nvPicPr>
      <xdr:blipFill>
        <a:blip r:embed="rId36"/>
        <a:srcRect l="9240" t="-1090" r="10388" b="799"/>
        <a:stretch>
          <a:fillRect/>
        </a:stretch>
      </xdr:blipFill>
      <xdr:spPr>
        <a:xfrm>
          <a:off x="171450" y="6670675"/>
          <a:ext cx="1415415" cy="1329055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6</xdr:row>
      <xdr:rowOff>46355</xdr:rowOff>
    </xdr:from>
    <xdr:to>
      <xdr:col>12</xdr:col>
      <xdr:colOff>296545</xdr:colOff>
      <xdr:row>9</xdr:row>
      <xdr:rowOff>304800</xdr:rowOff>
    </xdr:to>
    <xdr:pic>
      <xdr:nvPicPr>
        <xdr:cNvPr id="22" name="图片 21" descr="X1全涂"/>
        <xdr:cNvPicPr>
          <a:picLocks noChangeAspect="1"/>
        </xdr:cNvPicPr>
      </xdr:nvPicPr>
      <xdr:blipFill>
        <a:blip r:embed="rId37"/>
        <a:srcRect l="8553" r="9475" b="861"/>
        <a:stretch>
          <a:fillRect/>
        </a:stretch>
      </xdr:blipFill>
      <xdr:spPr>
        <a:xfrm>
          <a:off x="11811000" y="5393055"/>
          <a:ext cx="1668145" cy="1515745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13</xdr:row>
      <xdr:rowOff>19050</xdr:rowOff>
    </xdr:from>
    <xdr:to>
      <xdr:col>0</xdr:col>
      <xdr:colOff>1631950</xdr:colOff>
      <xdr:row>14</xdr:row>
      <xdr:rowOff>724535</xdr:rowOff>
    </xdr:to>
    <xdr:pic>
      <xdr:nvPicPr>
        <xdr:cNvPr id="23" name="图片 22" descr="X2拉丝银"/>
        <xdr:cNvPicPr>
          <a:picLocks noChangeAspect="1"/>
        </xdr:cNvPicPr>
      </xdr:nvPicPr>
      <xdr:blipFill>
        <a:blip r:embed="rId38"/>
        <a:srcRect l="10175" t="-3706" r="9239" b="-1529"/>
        <a:stretch>
          <a:fillRect/>
        </a:stretch>
      </xdr:blipFill>
      <xdr:spPr>
        <a:xfrm>
          <a:off x="171450" y="8299450"/>
          <a:ext cx="1460500" cy="1442085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10</xdr:col>
      <xdr:colOff>0</xdr:colOff>
      <xdr:row>359</xdr:row>
      <xdr:rowOff>9525</xdr:rowOff>
    </xdr:from>
    <xdr:to>
      <xdr:col>12</xdr:col>
      <xdr:colOff>57150</xdr:colOff>
      <xdr:row>360</xdr:row>
      <xdr:rowOff>662940</xdr:rowOff>
    </xdr:to>
    <xdr:pic>
      <xdr:nvPicPr>
        <xdr:cNvPr id="4103" name="图片 53" descr="eafd6e7553856369b4269f1734290bb"/>
        <xdr:cNvPicPr>
          <a:picLocks noChangeAspect="1"/>
        </xdr:cNvPicPr>
      </xdr:nvPicPr>
      <xdr:blipFill>
        <a:blip r:embed="rId1">
          <a:lum/>
        </a:blip>
        <a:stretch>
          <a:fillRect/>
        </a:stretch>
      </xdr:blipFill>
      <xdr:spPr>
        <a:xfrm>
          <a:off x="12241530" y="118948835"/>
          <a:ext cx="1428750" cy="14535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733425</xdr:colOff>
      <xdr:row>0</xdr:row>
      <xdr:rowOff>19685</xdr:rowOff>
    </xdr:from>
    <xdr:to>
      <xdr:col>6</xdr:col>
      <xdr:colOff>123825</xdr:colOff>
      <xdr:row>0</xdr:row>
      <xdr:rowOff>1038860</xdr:rowOff>
    </xdr:to>
    <xdr:pic>
      <xdr:nvPicPr>
        <xdr:cNvPr id="6" name="图片 30"/>
        <xdr:cNvPicPr>
          <a:picLocks noChangeAspect="1"/>
        </xdr:cNvPicPr>
      </xdr:nvPicPr>
      <xdr:blipFill>
        <a:blip r:embed="rId2">
          <a:lum/>
        </a:blip>
        <a:srcRect l="22745" t="7841" r="26981" b="11111"/>
        <a:stretch>
          <a:fillRect/>
        </a:stretch>
      </xdr:blipFill>
      <xdr:spPr>
        <a:xfrm>
          <a:off x="5964555" y="19685"/>
          <a:ext cx="1047750" cy="1019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161925</xdr:colOff>
      <xdr:row>174</xdr:row>
      <xdr:rowOff>38100</xdr:rowOff>
    </xdr:from>
    <xdr:to>
      <xdr:col>0</xdr:col>
      <xdr:colOff>1513840</xdr:colOff>
      <xdr:row>178</xdr:row>
      <xdr:rowOff>236220</xdr:rowOff>
    </xdr:to>
    <xdr:pic>
      <xdr:nvPicPr>
        <xdr:cNvPr id="2" name="图片 1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61925" y="59096910"/>
          <a:ext cx="1351915" cy="12141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46</xdr:row>
      <xdr:rowOff>219075</xdr:rowOff>
    </xdr:from>
    <xdr:to>
      <xdr:col>0</xdr:col>
      <xdr:colOff>1640840</xdr:colOff>
      <xdr:row>50</xdr:row>
      <xdr:rowOff>184785</xdr:rowOff>
    </xdr:to>
    <xdr:pic>
      <xdr:nvPicPr>
        <xdr:cNvPr id="9" name="ID_2503D34BCCAB4849A71E91339382CEA7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525" y="20276185"/>
          <a:ext cx="1631315" cy="1388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137795</xdr:colOff>
      <xdr:row>2</xdr:row>
      <xdr:rowOff>104775</xdr:rowOff>
    </xdr:from>
    <xdr:to>
      <xdr:col>0</xdr:col>
      <xdr:colOff>1576070</xdr:colOff>
      <xdr:row>5</xdr:row>
      <xdr:rowOff>266700</xdr:rowOff>
    </xdr:to>
    <xdr:pic>
      <xdr:nvPicPr>
        <xdr:cNvPr id="4133" name="ID_D37214BDCFCE42D2AF39FBAE0E88651C"/>
        <xdr:cNvPicPr>
          <a:picLocks noChangeAspect="1"/>
        </xdr:cNvPicPr>
      </xdr:nvPicPr>
      <xdr:blipFill>
        <a:blip r:embed="rId5">
          <a:lum/>
        </a:blip>
        <a:srcRect l="5807"/>
        <a:stretch>
          <a:fillRect/>
        </a:stretch>
      </xdr:blipFill>
      <xdr:spPr>
        <a:xfrm>
          <a:off x="137795" y="1514475"/>
          <a:ext cx="1438275" cy="12693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238125</xdr:colOff>
      <xdr:row>6</xdr:row>
      <xdr:rowOff>47625</xdr:rowOff>
    </xdr:from>
    <xdr:to>
      <xdr:col>0</xdr:col>
      <xdr:colOff>1476375</xdr:colOff>
      <xdr:row>7</xdr:row>
      <xdr:rowOff>619125</xdr:rowOff>
    </xdr:to>
    <xdr:pic>
      <xdr:nvPicPr>
        <xdr:cNvPr id="4158" name="ID_91836BFB569E418B83A363BEA4C6ECB3"/>
        <xdr:cNvPicPr>
          <a:picLocks noChangeAspect="1"/>
        </xdr:cNvPicPr>
      </xdr:nvPicPr>
      <xdr:blipFill>
        <a:blip r:embed="rId6">
          <a:lum/>
        </a:blip>
        <a:stretch>
          <a:fillRect/>
        </a:stretch>
      </xdr:blipFill>
      <xdr:spPr>
        <a:xfrm>
          <a:off x="238125" y="2934335"/>
          <a:ext cx="1238250" cy="1231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161925</xdr:colOff>
      <xdr:row>8</xdr:row>
      <xdr:rowOff>114300</xdr:rowOff>
    </xdr:from>
    <xdr:to>
      <xdr:col>0</xdr:col>
      <xdr:colOff>1552575</xdr:colOff>
      <xdr:row>11</xdr:row>
      <xdr:rowOff>314325</xdr:rowOff>
    </xdr:to>
    <xdr:pic>
      <xdr:nvPicPr>
        <xdr:cNvPr id="4123" name="ID_6166C0A5CEA24A5D9F76C7639D775E34"/>
        <xdr:cNvPicPr>
          <a:picLocks noChangeAspect="1"/>
        </xdr:cNvPicPr>
      </xdr:nvPicPr>
      <xdr:blipFill>
        <a:blip r:embed="rId7">
          <a:lum/>
        </a:blip>
        <a:stretch>
          <a:fillRect/>
        </a:stretch>
      </xdr:blipFill>
      <xdr:spPr>
        <a:xfrm>
          <a:off x="161925" y="4321810"/>
          <a:ext cx="1390650" cy="1343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166370</xdr:colOff>
      <xdr:row>12</xdr:row>
      <xdr:rowOff>42545</xdr:rowOff>
    </xdr:from>
    <xdr:to>
      <xdr:col>0</xdr:col>
      <xdr:colOff>1547495</xdr:colOff>
      <xdr:row>13</xdr:row>
      <xdr:rowOff>394970</xdr:rowOff>
    </xdr:to>
    <xdr:pic>
      <xdr:nvPicPr>
        <xdr:cNvPr id="4162" name="ID_BE1321E79A86445AB0D7DF099081C805"/>
        <xdr:cNvPicPr>
          <a:picLocks noChangeAspect="1"/>
        </xdr:cNvPicPr>
      </xdr:nvPicPr>
      <xdr:blipFill>
        <a:blip r:embed="rId8">
          <a:lum/>
        </a:blip>
        <a:stretch>
          <a:fillRect/>
        </a:stretch>
      </xdr:blipFill>
      <xdr:spPr>
        <a:xfrm>
          <a:off x="166370" y="5812155"/>
          <a:ext cx="1381125" cy="1228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156845</xdr:colOff>
      <xdr:row>15</xdr:row>
      <xdr:rowOff>168275</xdr:rowOff>
    </xdr:from>
    <xdr:to>
      <xdr:col>0</xdr:col>
      <xdr:colOff>1557020</xdr:colOff>
      <xdr:row>19</xdr:row>
      <xdr:rowOff>155575</xdr:rowOff>
    </xdr:to>
    <xdr:pic>
      <xdr:nvPicPr>
        <xdr:cNvPr id="4153" name="ID_4C1C0410FD42449097DFA0D86F8C371C"/>
        <xdr:cNvPicPr>
          <a:picLocks noChangeAspect="1"/>
        </xdr:cNvPicPr>
      </xdr:nvPicPr>
      <xdr:blipFill>
        <a:blip r:embed="rId9">
          <a:lum/>
        </a:blip>
        <a:stretch>
          <a:fillRect/>
        </a:stretch>
      </xdr:blipFill>
      <xdr:spPr>
        <a:xfrm>
          <a:off x="156845" y="8566785"/>
          <a:ext cx="1400175" cy="1257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180975</xdr:colOff>
      <xdr:row>20</xdr:row>
      <xdr:rowOff>115570</xdr:rowOff>
    </xdr:from>
    <xdr:to>
      <xdr:col>0</xdr:col>
      <xdr:colOff>1533525</xdr:colOff>
      <xdr:row>24</xdr:row>
      <xdr:rowOff>207645</xdr:rowOff>
    </xdr:to>
    <xdr:pic>
      <xdr:nvPicPr>
        <xdr:cNvPr id="4120" name="ID_E7A2224ADE4E4A4F905442F20F3C124C" descr="9a71ee7b4c77e97f4c9a3685f16712b"/>
        <xdr:cNvPicPr>
          <a:picLocks noChangeAspect="1"/>
        </xdr:cNvPicPr>
      </xdr:nvPicPr>
      <xdr:blipFill>
        <a:blip r:embed="rId10">
          <a:lum/>
        </a:blip>
        <a:stretch>
          <a:fillRect/>
        </a:stretch>
      </xdr:blipFill>
      <xdr:spPr>
        <a:xfrm>
          <a:off x="180975" y="10101580"/>
          <a:ext cx="1352550" cy="1362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156845</xdr:colOff>
      <xdr:row>27</xdr:row>
      <xdr:rowOff>57150</xdr:rowOff>
    </xdr:from>
    <xdr:to>
      <xdr:col>0</xdr:col>
      <xdr:colOff>1557020</xdr:colOff>
      <xdr:row>30</xdr:row>
      <xdr:rowOff>295275</xdr:rowOff>
    </xdr:to>
    <xdr:pic>
      <xdr:nvPicPr>
        <xdr:cNvPr id="4161" name="ID_F63C2C8BCC4142898DCF2B988D4B5EC4"/>
        <xdr:cNvPicPr>
          <a:picLocks noChangeAspect="1"/>
        </xdr:cNvPicPr>
      </xdr:nvPicPr>
      <xdr:blipFill>
        <a:blip r:embed="rId11">
          <a:lum/>
        </a:blip>
        <a:stretch>
          <a:fillRect/>
        </a:stretch>
      </xdr:blipFill>
      <xdr:spPr>
        <a:xfrm>
          <a:off x="156845" y="12265660"/>
          <a:ext cx="1400175" cy="1266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137795</xdr:colOff>
      <xdr:row>31</xdr:row>
      <xdr:rowOff>58420</xdr:rowOff>
    </xdr:from>
    <xdr:to>
      <xdr:col>0</xdr:col>
      <xdr:colOff>1576705</xdr:colOff>
      <xdr:row>32</xdr:row>
      <xdr:rowOff>732155</xdr:rowOff>
    </xdr:to>
    <xdr:pic>
      <xdr:nvPicPr>
        <xdr:cNvPr id="4099" name="ID_E84EBA11C3D94C09A93B5A26C3AA3560" descr="716010536182099650"/>
        <xdr:cNvPicPr>
          <a:picLocks noChangeAspect="1"/>
        </xdr:cNvPicPr>
      </xdr:nvPicPr>
      <xdr:blipFill>
        <a:blip r:embed="rId12">
          <a:lum/>
        </a:blip>
        <a:stretch>
          <a:fillRect/>
        </a:stretch>
      </xdr:blipFill>
      <xdr:spPr>
        <a:xfrm>
          <a:off x="137795" y="13638530"/>
          <a:ext cx="1438910" cy="1461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123825</xdr:colOff>
      <xdr:row>33</xdr:row>
      <xdr:rowOff>71120</xdr:rowOff>
    </xdr:from>
    <xdr:to>
      <xdr:col>0</xdr:col>
      <xdr:colOff>1590675</xdr:colOff>
      <xdr:row>37</xdr:row>
      <xdr:rowOff>242570</xdr:rowOff>
    </xdr:to>
    <xdr:pic>
      <xdr:nvPicPr>
        <xdr:cNvPr id="4164" name="ID_DB538CD75B3D4D3695CA59AF98EE35E8"/>
        <xdr:cNvPicPr>
          <a:picLocks noChangeAspect="1"/>
        </xdr:cNvPicPr>
      </xdr:nvPicPr>
      <xdr:blipFill>
        <a:blip r:embed="rId13">
          <a:lum/>
        </a:blip>
        <a:stretch>
          <a:fillRect/>
        </a:stretch>
      </xdr:blipFill>
      <xdr:spPr>
        <a:xfrm>
          <a:off x="123825" y="15226030"/>
          <a:ext cx="1466850" cy="1390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127000</xdr:colOff>
      <xdr:row>52</xdr:row>
      <xdr:rowOff>146685</xdr:rowOff>
    </xdr:from>
    <xdr:to>
      <xdr:col>0</xdr:col>
      <xdr:colOff>1586865</xdr:colOff>
      <xdr:row>55</xdr:row>
      <xdr:rowOff>252730</xdr:rowOff>
    </xdr:to>
    <xdr:pic>
      <xdr:nvPicPr>
        <xdr:cNvPr id="13" name="ID_E758F3C378E84734B1E6E904A5BBD977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127000" y="22337395"/>
          <a:ext cx="1459865" cy="1287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85725</xdr:colOff>
      <xdr:row>66</xdr:row>
      <xdr:rowOff>38100</xdr:rowOff>
    </xdr:from>
    <xdr:to>
      <xdr:col>0</xdr:col>
      <xdr:colOff>1571625</xdr:colOff>
      <xdr:row>71</xdr:row>
      <xdr:rowOff>19050</xdr:rowOff>
    </xdr:to>
    <xdr:pic>
      <xdr:nvPicPr>
        <xdr:cNvPr id="4137" name="ID_9ECE9AC56C894468979C8B16CF3ABE53"/>
        <xdr:cNvPicPr>
          <a:picLocks noChangeAspect="1"/>
        </xdr:cNvPicPr>
      </xdr:nvPicPr>
      <xdr:blipFill>
        <a:blip r:embed="rId15">
          <a:lum/>
        </a:blip>
        <a:srcRect l="7632" r="6471"/>
        <a:stretch>
          <a:fillRect/>
        </a:stretch>
      </xdr:blipFill>
      <xdr:spPr>
        <a:xfrm>
          <a:off x="85725" y="27512010"/>
          <a:ext cx="1485900" cy="1314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128270</xdr:colOff>
      <xdr:row>76</xdr:row>
      <xdr:rowOff>113030</xdr:rowOff>
    </xdr:from>
    <xdr:to>
      <xdr:col>0</xdr:col>
      <xdr:colOff>1586230</xdr:colOff>
      <xdr:row>80</xdr:row>
      <xdr:rowOff>200660</xdr:rowOff>
    </xdr:to>
    <xdr:pic>
      <xdr:nvPicPr>
        <xdr:cNvPr id="12" name="ID_4E89342F573A4E0E8E6918367550CF17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28270" y="30253940"/>
          <a:ext cx="1457960" cy="1306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95250</xdr:colOff>
      <xdr:row>81</xdr:row>
      <xdr:rowOff>61595</xdr:rowOff>
    </xdr:from>
    <xdr:to>
      <xdr:col>0</xdr:col>
      <xdr:colOff>1599565</xdr:colOff>
      <xdr:row>84</xdr:row>
      <xdr:rowOff>280670</xdr:rowOff>
    </xdr:to>
    <xdr:pic>
      <xdr:nvPicPr>
        <xdr:cNvPr id="4154" name="ID_8BD09FD06D3A4BC1AE3A46C48D8ACF57"/>
        <xdr:cNvPicPr>
          <a:picLocks noChangeAspect="1"/>
        </xdr:cNvPicPr>
      </xdr:nvPicPr>
      <xdr:blipFill>
        <a:blip r:embed="rId17">
          <a:lum/>
        </a:blip>
        <a:stretch>
          <a:fillRect/>
        </a:stretch>
      </xdr:blipFill>
      <xdr:spPr>
        <a:xfrm>
          <a:off x="95250" y="31726505"/>
          <a:ext cx="1504315" cy="1362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86995</xdr:colOff>
      <xdr:row>85</xdr:row>
      <xdr:rowOff>147320</xdr:rowOff>
    </xdr:from>
    <xdr:to>
      <xdr:col>0</xdr:col>
      <xdr:colOff>1626870</xdr:colOff>
      <xdr:row>90</xdr:row>
      <xdr:rowOff>128905</xdr:rowOff>
    </xdr:to>
    <xdr:pic>
      <xdr:nvPicPr>
        <xdr:cNvPr id="3" name="ID_F1746E52F5934B249FB8AF8111E4ED06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86995" y="33336230"/>
          <a:ext cx="1539875" cy="1315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118110</xdr:colOff>
      <xdr:row>91</xdr:row>
      <xdr:rowOff>107950</xdr:rowOff>
    </xdr:from>
    <xdr:to>
      <xdr:col>0</xdr:col>
      <xdr:colOff>1652905</xdr:colOff>
      <xdr:row>96</xdr:row>
      <xdr:rowOff>222885</xdr:rowOff>
    </xdr:to>
    <xdr:pic>
      <xdr:nvPicPr>
        <xdr:cNvPr id="5" name="ID_CEBA9740757847188A1D0C54C11B6082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118110" y="34897060"/>
          <a:ext cx="1534795" cy="1448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133350</xdr:colOff>
      <xdr:row>101</xdr:row>
      <xdr:rowOff>61595</xdr:rowOff>
    </xdr:from>
    <xdr:to>
      <xdr:col>0</xdr:col>
      <xdr:colOff>1581150</xdr:colOff>
      <xdr:row>106</xdr:row>
      <xdr:rowOff>194945</xdr:rowOff>
    </xdr:to>
    <xdr:pic>
      <xdr:nvPicPr>
        <xdr:cNvPr id="4132" name="ID_BD2D51BFDD2C4C08BF0DA4415DC1E1AD" descr="d5751ccf4712af6fda7a33a16b4629f"/>
        <xdr:cNvPicPr>
          <a:picLocks noChangeAspect="1"/>
        </xdr:cNvPicPr>
      </xdr:nvPicPr>
      <xdr:blipFill>
        <a:blip r:embed="rId20">
          <a:lum/>
        </a:blip>
        <a:srcRect l="10281" r="11583"/>
        <a:stretch>
          <a:fillRect/>
        </a:stretch>
      </xdr:blipFill>
      <xdr:spPr>
        <a:xfrm>
          <a:off x="133350" y="37873305"/>
          <a:ext cx="1447800" cy="1403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85725</xdr:colOff>
      <xdr:row>113</xdr:row>
      <xdr:rowOff>85725</xdr:rowOff>
    </xdr:from>
    <xdr:to>
      <xdr:col>0</xdr:col>
      <xdr:colOff>1628775</xdr:colOff>
      <xdr:row>119</xdr:row>
      <xdr:rowOff>161925</xdr:rowOff>
    </xdr:to>
    <xdr:pic>
      <xdr:nvPicPr>
        <xdr:cNvPr id="4168" name="ID_5918E8CF2EF14B53AEADAACE893CA9EE" descr="1639041306(1)"/>
        <xdr:cNvPicPr>
          <a:picLocks noChangeAspect="1"/>
        </xdr:cNvPicPr>
      </xdr:nvPicPr>
      <xdr:blipFill>
        <a:blip r:embed="rId21">
          <a:lum/>
        </a:blip>
        <a:stretch>
          <a:fillRect/>
        </a:stretch>
      </xdr:blipFill>
      <xdr:spPr>
        <a:xfrm>
          <a:off x="85725" y="40945435"/>
          <a:ext cx="1543050" cy="1524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57150</xdr:colOff>
      <xdr:row>119</xdr:row>
      <xdr:rowOff>228600</xdr:rowOff>
    </xdr:from>
    <xdr:to>
      <xdr:col>0</xdr:col>
      <xdr:colOff>1638300</xdr:colOff>
      <xdr:row>126</xdr:row>
      <xdr:rowOff>44450</xdr:rowOff>
    </xdr:to>
    <xdr:pic>
      <xdr:nvPicPr>
        <xdr:cNvPr id="4167" name="ID_B471BC910FA549D1B11D7438E6AAC12E" descr="1639041315(1)"/>
        <xdr:cNvPicPr>
          <a:picLocks noChangeAspect="1"/>
        </xdr:cNvPicPr>
      </xdr:nvPicPr>
      <xdr:blipFill>
        <a:blip r:embed="rId22">
          <a:lum/>
        </a:blip>
        <a:stretch>
          <a:fillRect/>
        </a:stretch>
      </xdr:blipFill>
      <xdr:spPr>
        <a:xfrm>
          <a:off x="57150" y="42536110"/>
          <a:ext cx="1581150" cy="1504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61595</xdr:colOff>
      <xdr:row>126</xdr:row>
      <xdr:rowOff>131445</xdr:rowOff>
    </xdr:from>
    <xdr:to>
      <xdr:col>0</xdr:col>
      <xdr:colOff>1652270</xdr:colOff>
      <xdr:row>133</xdr:row>
      <xdr:rowOff>27305</xdr:rowOff>
    </xdr:to>
    <xdr:pic>
      <xdr:nvPicPr>
        <xdr:cNvPr id="4115" name="ID_D152CD471F214DDEA4BCB422AEF91643" descr="48c1d022f3b5c453e5a2b810b6e2d11"/>
        <xdr:cNvPicPr>
          <a:picLocks noChangeAspect="1"/>
        </xdr:cNvPicPr>
      </xdr:nvPicPr>
      <xdr:blipFill>
        <a:blip r:embed="rId23">
          <a:lum/>
        </a:blip>
        <a:stretch>
          <a:fillRect/>
        </a:stretch>
      </xdr:blipFill>
      <xdr:spPr>
        <a:xfrm>
          <a:off x="61595" y="44128055"/>
          <a:ext cx="1590675" cy="1584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99695</xdr:colOff>
      <xdr:row>140</xdr:row>
      <xdr:rowOff>248920</xdr:rowOff>
    </xdr:from>
    <xdr:to>
      <xdr:col>0</xdr:col>
      <xdr:colOff>1614170</xdr:colOff>
      <xdr:row>145</xdr:row>
      <xdr:rowOff>74295</xdr:rowOff>
    </xdr:to>
    <xdr:pic>
      <xdr:nvPicPr>
        <xdr:cNvPr id="4136" name="ID_957F1A74B10442E0AC20C7E78353AC81"/>
        <xdr:cNvPicPr>
          <a:picLocks noChangeAspect="1"/>
        </xdr:cNvPicPr>
      </xdr:nvPicPr>
      <xdr:blipFill>
        <a:blip r:embed="rId24">
          <a:lum/>
        </a:blip>
        <a:stretch>
          <a:fillRect/>
        </a:stretch>
      </xdr:blipFill>
      <xdr:spPr>
        <a:xfrm>
          <a:off x="99695" y="47699930"/>
          <a:ext cx="1514475" cy="1412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190500</xdr:colOff>
      <xdr:row>148</xdr:row>
      <xdr:rowOff>52070</xdr:rowOff>
    </xdr:from>
    <xdr:to>
      <xdr:col>0</xdr:col>
      <xdr:colOff>1524000</xdr:colOff>
      <xdr:row>150</xdr:row>
      <xdr:rowOff>423545</xdr:rowOff>
    </xdr:to>
    <xdr:pic>
      <xdr:nvPicPr>
        <xdr:cNvPr id="4128" name="ID_6F8F23706F51413BBCD3C95BD5A11A20" descr="1649398899(1)"/>
        <xdr:cNvPicPr>
          <a:picLocks noChangeAspect="1"/>
        </xdr:cNvPicPr>
      </xdr:nvPicPr>
      <xdr:blipFill>
        <a:blip r:embed="rId25">
          <a:lum/>
        </a:blip>
        <a:stretch>
          <a:fillRect/>
        </a:stretch>
      </xdr:blipFill>
      <xdr:spPr>
        <a:xfrm>
          <a:off x="190500" y="50043080"/>
          <a:ext cx="1333500" cy="1311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175895</xdr:colOff>
      <xdr:row>151</xdr:row>
      <xdr:rowOff>36830</xdr:rowOff>
    </xdr:from>
    <xdr:to>
      <xdr:col>0</xdr:col>
      <xdr:colOff>1538605</xdr:colOff>
      <xdr:row>154</xdr:row>
      <xdr:rowOff>337820</xdr:rowOff>
    </xdr:to>
    <xdr:pic>
      <xdr:nvPicPr>
        <xdr:cNvPr id="4112" name="ID_8C5792C20DE94D078E82E3FF5C9E8F38" descr="1639041133(1)"/>
        <xdr:cNvPicPr>
          <a:picLocks noChangeAspect="1"/>
        </xdr:cNvPicPr>
      </xdr:nvPicPr>
      <xdr:blipFill>
        <a:blip r:embed="rId26">
          <a:lum/>
        </a:blip>
        <a:stretch>
          <a:fillRect/>
        </a:stretch>
      </xdr:blipFill>
      <xdr:spPr>
        <a:xfrm>
          <a:off x="175895" y="51437540"/>
          <a:ext cx="1362710" cy="13296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118745</xdr:colOff>
      <xdr:row>162</xdr:row>
      <xdr:rowOff>152400</xdr:rowOff>
    </xdr:from>
    <xdr:to>
      <xdr:col>0</xdr:col>
      <xdr:colOff>1595120</xdr:colOff>
      <xdr:row>167</xdr:row>
      <xdr:rowOff>123825</xdr:rowOff>
    </xdr:to>
    <xdr:pic>
      <xdr:nvPicPr>
        <xdr:cNvPr id="4147" name="ID_0C1DB4ABB3E44BDCBE2832B3EAAA56B9"/>
        <xdr:cNvPicPr>
          <a:picLocks noChangeAspect="1"/>
        </xdr:cNvPicPr>
      </xdr:nvPicPr>
      <xdr:blipFill>
        <a:blip r:embed="rId27">
          <a:lum/>
        </a:blip>
        <a:stretch>
          <a:fillRect/>
        </a:stretch>
      </xdr:blipFill>
      <xdr:spPr>
        <a:xfrm>
          <a:off x="118745" y="56010810"/>
          <a:ext cx="1476375" cy="1304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128270</xdr:colOff>
      <xdr:row>168</xdr:row>
      <xdr:rowOff>110490</xdr:rowOff>
    </xdr:from>
    <xdr:to>
      <xdr:col>0</xdr:col>
      <xdr:colOff>1585595</xdr:colOff>
      <xdr:row>173</xdr:row>
      <xdr:rowOff>165735</xdr:rowOff>
    </xdr:to>
    <xdr:pic>
      <xdr:nvPicPr>
        <xdr:cNvPr id="4156" name="ID_65EFBFF88F7647218031ADEAEC128DBB"/>
        <xdr:cNvPicPr>
          <a:picLocks noChangeAspect="1"/>
        </xdr:cNvPicPr>
      </xdr:nvPicPr>
      <xdr:blipFill>
        <a:blip r:embed="rId28">
          <a:lum/>
        </a:blip>
        <a:stretch>
          <a:fillRect/>
        </a:stretch>
      </xdr:blipFill>
      <xdr:spPr>
        <a:xfrm>
          <a:off x="128270" y="57569100"/>
          <a:ext cx="1457325" cy="1388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109220</xdr:colOff>
      <xdr:row>179</xdr:row>
      <xdr:rowOff>44450</xdr:rowOff>
    </xdr:from>
    <xdr:to>
      <xdr:col>0</xdr:col>
      <xdr:colOff>1528445</xdr:colOff>
      <xdr:row>183</xdr:row>
      <xdr:rowOff>212725</xdr:rowOff>
    </xdr:to>
    <xdr:pic>
      <xdr:nvPicPr>
        <xdr:cNvPr id="4134" name="ID_66248532CFBA4AE0BE2E00DF27A249FD"/>
        <xdr:cNvPicPr>
          <a:picLocks noChangeAspect="1"/>
        </xdr:cNvPicPr>
      </xdr:nvPicPr>
      <xdr:blipFill>
        <a:blip r:embed="rId29">
          <a:lum/>
        </a:blip>
        <a:stretch>
          <a:fillRect/>
        </a:stretch>
      </xdr:blipFill>
      <xdr:spPr>
        <a:xfrm>
          <a:off x="109220" y="60373260"/>
          <a:ext cx="1419225" cy="1184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133350</xdr:colOff>
      <xdr:row>184</xdr:row>
      <xdr:rowOff>104775</xdr:rowOff>
    </xdr:from>
    <xdr:to>
      <xdr:col>0</xdr:col>
      <xdr:colOff>1571625</xdr:colOff>
      <xdr:row>190</xdr:row>
      <xdr:rowOff>125095</xdr:rowOff>
    </xdr:to>
    <xdr:pic>
      <xdr:nvPicPr>
        <xdr:cNvPr id="4124" name="ID_402A69698BB4440DAD7A0785DAE983A3" descr="1639042117(1)"/>
        <xdr:cNvPicPr>
          <a:picLocks noChangeAspect="1"/>
        </xdr:cNvPicPr>
      </xdr:nvPicPr>
      <xdr:blipFill>
        <a:blip r:embed="rId30">
          <a:lum/>
        </a:blip>
        <a:stretch>
          <a:fillRect/>
        </a:stretch>
      </xdr:blipFill>
      <xdr:spPr>
        <a:xfrm>
          <a:off x="133350" y="61703585"/>
          <a:ext cx="1438275" cy="1391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133350</xdr:colOff>
      <xdr:row>190</xdr:row>
      <xdr:rowOff>161925</xdr:rowOff>
    </xdr:from>
    <xdr:to>
      <xdr:col>0</xdr:col>
      <xdr:colOff>1562100</xdr:colOff>
      <xdr:row>196</xdr:row>
      <xdr:rowOff>152400</xdr:rowOff>
    </xdr:to>
    <xdr:pic>
      <xdr:nvPicPr>
        <xdr:cNvPr id="4131" name="ID_38A3223D9BFA41E49C375EAD7843AFAC" descr="1677234670876"/>
        <xdr:cNvPicPr>
          <a:picLocks noChangeAspect="1"/>
        </xdr:cNvPicPr>
      </xdr:nvPicPr>
      <xdr:blipFill>
        <a:blip r:embed="rId31">
          <a:lum/>
        </a:blip>
        <a:stretch>
          <a:fillRect/>
        </a:stretch>
      </xdr:blipFill>
      <xdr:spPr>
        <a:xfrm>
          <a:off x="133350" y="63132335"/>
          <a:ext cx="1428750" cy="1362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129540</xdr:colOff>
      <xdr:row>206</xdr:row>
      <xdr:rowOff>48260</xdr:rowOff>
    </xdr:from>
    <xdr:to>
      <xdr:col>0</xdr:col>
      <xdr:colOff>1584325</xdr:colOff>
      <xdr:row>209</xdr:row>
      <xdr:rowOff>322580</xdr:rowOff>
    </xdr:to>
    <xdr:pic>
      <xdr:nvPicPr>
        <xdr:cNvPr id="14" name="ID_3230B55C4C9949B482FE59B47E588E33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29540" y="66777870"/>
          <a:ext cx="1454785" cy="1379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0</xdr:colOff>
      <xdr:row>206</xdr:row>
      <xdr:rowOff>32385</xdr:rowOff>
    </xdr:from>
    <xdr:to>
      <xdr:col>12</xdr:col>
      <xdr:colOff>130175</xdr:colOff>
      <xdr:row>209</xdr:row>
      <xdr:rowOff>307975</xdr:rowOff>
    </xdr:to>
    <xdr:pic>
      <xdr:nvPicPr>
        <xdr:cNvPr id="15" name="ID_D41BD8589B7746EBBCAF33EF7E477019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12241530" y="66761995"/>
          <a:ext cx="1501775" cy="13804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152400</xdr:colOff>
      <xdr:row>219</xdr:row>
      <xdr:rowOff>76200</xdr:rowOff>
    </xdr:from>
    <xdr:to>
      <xdr:col>0</xdr:col>
      <xdr:colOff>1562100</xdr:colOff>
      <xdr:row>224</xdr:row>
      <xdr:rowOff>180975</xdr:rowOff>
    </xdr:to>
    <xdr:pic>
      <xdr:nvPicPr>
        <xdr:cNvPr id="4126" name="ID_70EC3E704E434A54BCDC4951A1128EB7" descr="7b77a43adfed6a04a3e7ab3fe01c5f2"/>
        <xdr:cNvPicPr>
          <a:picLocks noChangeAspect="1"/>
        </xdr:cNvPicPr>
      </xdr:nvPicPr>
      <xdr:blipFill>
        <a:blip r:embed="rId34">
          <a:lum/>
        </a:blip>
        <a:srcRect l="11201" r="10445" b="2220"/>
        <a:stretch>
          <a:fillRect/>
        </a:stretch>
      </xdr:blipFill>
      <xdr:spPr>
        <a:xfrm>
          <a:off x="152400" y="70780910"/>
          <a:ext cx="1409700" cy="1374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132080</xdr:colOff>
      <xdr:row>225</xdr:row>
      <xdr:rowOff>150495</xdr:rowOff>
    </xdr:from>
    <xdr:to>
      <xdr:col>0</xdr:col>
      <xdr:colOff>1582420</xdr:colOff>
      <xdr:row>230</xdr:row>
      <xdr:rowOff>125095</xdr:rowOff>
    </xdr:to>
    <xdr:pic>
      <xdr:nvPicPr>
        <xdr:cNvPr id="11" name="ID_8B14117C7E934531A21A535107199B97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132080" y="72379205"/>
          <a:ext cx="1450340" cy="1308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97790</xdr:colOff>
      <xdr:row>231</xdr:row>
      <xdr:rowOff>99695</xdr:rowOff>
    </xdr:from>
    <xdr:to>
      <xdr:col>0</xdr:col>
      <xdr:colOff>1616710</xdr:colOff>
      <xdr:row>234</xdr:row>
      <xdr:rowOff>300355</xdr:rowOff>
    </xdr:to>
    <xdr:pic>
      <xdr:nvPicPr>
        <xdr:cNvPr id="10" name="ID_B780AC1232DE4403A98CC3B7A9C3DF5E"/>
        <xdr:cNvPicPr>
          <a:picLocks noChangeAspect="1"/>
        </xdr:cNvPicPr>
      </xdr:nvPicPr>
      <xdr:blipFill>
        <a:blip r:embed="rId36"/>
        <a:srcRect l="7160" r="3341" b="281"/>
        <a:stretch>
          <a:fillRect/>
        </a:stretch>
      </xdr:blipFill>
      <xdr:spPr>
        <a:xfrm>
          <a:off x="97790" y="73928605"/>
          <a:ext cx="1518920" cy="1381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118745</xdr:colOff>
      <xdr:row>235</xdr:row>
      <xdr:rowOff>71120</xdr:rowOff>
    </xdr:from>
    <xdr:to>
      <xdr:col>0</xdr:col>
      <xdr:colOff>1595120</xdr:colOff>
      <xdr:row>240</xdr:row>
      <xdr:rowOff>140970</xdr:rowOff>
    </xdr:to>
    <xdr:pic>
      <xdr:nvPicPr>
        <xdr:cNvPr id="4144" name="ID_7F8DDF89CC754184A10B8C9E0054D188"/>
        <xdr:cNvPicPr>
          <a:picLocks noChangeAspect="1"/>
        </xdr:cNvPicPr>
      </xdr:nvPicPr>
      <xdr:blipFill>
        <a:blip r:embed="rId37">
          <a:lum/>
        </a:blip>
        <a:stretch>
          <a:fillRect/>
        </a:stretch>
      </xdr:blipFill>
      <xdr:spPr>
        <a:xfrm>
          <a:off x="118745" y="75474830"/>
          <a:ext cx="1476375" cy="1466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128270</xdr:colOff>
      <xdr:row>241</xdr:row>
      <xdr:rowOff>204470</xdr:rowOff>
    </xdr:from>
    <xdr:to>
      <xdr:col>0</xdr:col>
      <xdr:colOff>1585595</xdr:colOff>
      <xdr:row>243</xdr:row>
      <xdr:rowOff>356870</xdr:rowOff>
    </xdr:to>
    <xdr:pic>
      <xdr:nvPicPr>
        <xdr:cNvPr id="4169" name="ID_2DB11AA53DD7449BA7DA68FA6BF61018"/>
        <xdr:cNvPicPr>
          <a:picLocks noChangeAspect="1"/>
        </xdr:cNvPicPr>
      </xdr:nvPicPr>
      <xdr:blipFill>
        <a:blip r:embed="rId38">
          <a:lum/>
        </a:blip>
        <a:stretch>
          <a:fillRect/>
        </a:stretch>
      </xdr:blipFill>
      <xdr:spPr>
        <a:xfrm>
          <a:off x="128270" y="77284580"/>
          <a:ext cx="1457325" cy="1270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133350</xdr:colOff>
      <xdr:row>247</xdr:row>
      <xdr:rowOff>142875</xdr:rowOff>
    </xdr:from>
    <xdr:to>
      <xdr:col>0</xdr:col>
      <xdr:colOff>1581150</xdr:colOff>
      <xdr:row>248</xdr:row>
      <xdr:rowOff>666750</xdr:rowOff>
    </xdr:to>
    <xdr:pic>
      <xdr:nvPicPr>
        <xdr:cNvPr id="4145" name="ID_C7DFBA48BFE34E328B9E9F90AEB8BA14"/>
        <xdr:cNvPicPr>
          <a:picLocks noChangeAspect="1"/>
        </xdr:cNvPicPr>
      </xdr:nvPicPr>
      <xdr:blipFill>
        <a:blip r:embed="rId39">
          <a:lum/>
        </a:blip>
        <a:srcRect l="2975"/>
        <a:stretch>
          <a:fillRect/>
        </a:stretch>
      </xdr:blipFill>
      <xdr:spPr>
        <a:xfrm>
          <a:off x="133350" y="81655285"/>
          <a:ext cx="1447800" cy="1323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156845</xdr:colOff>
      <xdr:row>249</xdr:row>
      <xdr:rowOff>90170</xdr:rowOff>
    </xdr:from>
    <xdr:to>
      <xdr:col>0</xdr:col>
      <xdr:colOff>1557020</xdr:colOff>
      <xdr:row>250</xdr:row>
      <xdr:rowOff>690245</xdr:rowOff>
    </xdr:to>
    <xdr:pic>
      <xdr:nvPicPr>
        <xdr:cNvPr id="4165" name="ID_E3719FBA53E94F268EB4C33669A7BAB8"/>
        <xdr:cNvPicPr>
          <a:picLocks noChangeAspect="1"/>
        </xdr:cNvPicPr>
      </xdr:nvPicPr>
      <xdr:blipFill>
        <a:blip r:embed="rId40">
          <a:lum/>
        </a:blip>
        <a:stretch>
          <a:fillRect/>
        </a:stretch>
      </xdr:blipFill>
      <xdr:spPr>
        <a:xfrm>
          <a:off x="156845" y="83202780"/>
          <a:ext cx="1400175" cy="1374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142875</xdr:colOff>
      <xdr:row>251</xdr:row>
      <xdr:rowOff>156845</xdr:rowOff>
    </xdr:from>
    <xdr:to>
      <xdr:col>0</xdr:col>
      <xdr:colOff>1571625</xdr:colOff>
      <xdr:row>253</xdr:row>
      <xdr:rowOff>423545</xdr:rowOff>
    </xdr:to>
    <xdr:pic>
      <xdr:nvPicPr>
        <xdr:cNvPr id="4166" name="ID_829C1CC26F194D978B7EC4829AF351D1"/>
        <xdr:cNvPicPr>
          <a:picLocks noChangeAspect="1"/>
        </xdr:cNvPicPr>
      </xdr:nvPicPr>
      <xdr:blipFill>
        <a:blip r:embed="rId41">
          <a:lum/>
        </a:blip>
        <a:stretch>
          <a:fillRect/>
        </a:stretch>
      </xdr:blipFill>
      <xdr:spPr>
        <a:xfrm>
          <a:off x="142875" y="84818855"/>
          <a:ext cx="1428750" cy="1409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198755</xdr:colOff>
      <xdr:row>256</xdr:row>
      <xdr:rowOff>98425</xdr:rowOff>
    </xdr:from>
    <xdr:to>
      <xdr:col>0</xdr:col>
      <xdr:colOff>1515745</xdr:colOff>
      <xdr:row>259</xdr:row>
      <xdr:rowOff>273050</xdr:rowOff>
    </xdr:to>
    <xdr:pic>
      <xdr:nvPicPr>
        <xdr:cNvPr id="4" name="ID_63463CFB882E44938F283EBFC11D7CD9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198755" y="87694135"/>
          <a:ext cx="1316990" cy="1279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171450</xdr:colOff>
      <xdr:row>260</xdr:row>
      <xdr:rowOff>85725</xdr:rowOff>
    </xdr:from>
    <xdr:to>
      <xdr:col>0</xdr:col>
      <xdr:colOff>1543050</xdr:colOff>
      <xdr:row>264</xdr:row>
      <xdr:rowOff>177800</xdr:rowOff>
    </xdr:to>
    <xdr:pic>
      <xdr:nvPicPr>
        <xdr:cNvPr id="4155" name="ID_9DADFA78086E433A8BE5FFE9AE044D5E"/>
        <xdr:cNvPicPr>
          <a:picLocks noChangeAspect="1"/>
        </xdr:cNvPicPr>
      </xdr:nvPicPr>
      <xdr:blipFill>
        <a:blip r:embed="rId43">
          <a:lum/>
        </a:blip>
        <a:srcRect l="7275"/>
        <a:stretch>
          <a:fillRect/>
        </a:stretch>
      </xdr:blipFill>
      <xdr:spPr>
        <a:xfrm>
          <a:off x="171450" y="89154635"/>
          <a:ext cx="1371600" cy="1209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118745</xdr:colOff>
      <xdr:row>266</xdr:row>
      <xdr:rowOff>71120</xdr:rowOff>
    </xdr:from>
    <xdr:to>
      <xdr:col>0</xdr:col>
      <xdr:colOff>1595120</xdr:colOff>
      <xdr:row>271</xdr:row>
      <xdr:rowOff>185420</xdr:rowOff>
    </xdr:to>
    <xdr:pic>
      <xdr:nvPicPr>
        <xdr:cNvPr id="4149" name="ID_9E1012FCF11045A8A89D6ECD533AB337"/>
        <xdr:cNvPicPr>
          <a:picLocks noChangeAspect="1"/>
        </xdr:cNvPicPr>
      </xdr:nvPicPr>
      <xdr:blipFill>
        <a:blip r:embed="rId44">
          <a:lum/>
        </a:blip>
        <a:stretch>
          <a:fillRect/>
        </a:stretch>
      </xdr:blipFill>
      <xdr:spPr>
        <a:xfrm>
          <a:off x="118745" y="90816430"/>
          <a:ext cx="1476375" cy="1384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153670</xdr:colOff>
      <xdr:row>272</xdr:row>
      <xdr:rowOff>20320</xdr:rowOff>
    </xdr:from>
    <xdr:to>
      <xdr:col>0</xdr:col>
      <xdr:colOff>1589405</xdr:colOff>
      <xdr:row>276</xdr:row>
      <xdr:rowOff>252730</xdr:rowOff>
    </xdr:to>
    <xdr:pic>
      <xdr:nvPicPr>
        <xdr:cNvPr id="19" name="ID_581CC432103343BEB5A117E1ACE2795A"/>
        <xdr:cNvPicPr>
          <a:picLocks noChangeAspect="1"/>
        </xdr:cNvPicPr>
      </xdr:nvPicPr>
      <xdr:blipFill>
        <a:blip r:embed="rId45"/>
        <a:srcRect l="5642"/>
        <a:stretch>
          <a:fillRect/>
        </a:stretch>
      </xdr:blipFill>
      <xdr:spPr>
        <a:xfrm>
          <a:off x="153670" y="92289630"/>
          <a:ext cx="1435735" cy="1299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123825</xdr:colOff>
      <xdr:row>285</xdr:row>
      <xdr:rowOff>57150</xdr:rowOff>
    </xdr:from>
    <xdr:to>
      <xdr:col>0</xdr:col>
      <xdr:colOff>1590675</xdr:colOff>
      <xdr:row>290</xdr:row>
      <xdr:rowOff>180975</xdr:rowOff>
    </xdr:to>
    <xdr:pic>
      <xdr:nvPicPr>
        <xdr:cNvPr id="4150" name="ID_EF87835B43D24458AA72D134CF8C0CEC"/>
        <xdr:cNvPicPr>
          <a:picLocks noChangeAspect="1"/>
        </xdr:cNvPicPr>
      </xdr:nvPicPr>
      <xdr:blipFill>
        <a:blip r:embed="rId46">
          <a:lum/>
        </a:blip>
        <a:stretch>
          <a:fillRect/>
        </a:stretch>
      </xdr:blipFill>
      <xdr:spPr>
        <a:xfrm>
          <a:off x="123825" y="95793560"/>
          <a:ext cx="1466850" cy="1266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142875</xdr:colOff>
      <xdr:row>291</xdr:row>
      <xdr:rowOff>152400</xdr:rowOff>
    </xdr:from>
    <xdr:to>
      <xdr:col>0</xdr:col>
      <xdr:colOff>1571625</xdr:colOff>
      <xdr:row>297</xdr:row>
      <xdr:rowOff>85725</xdr:rowOff>
    </xdr:to>
    <xdr:pic>
      <xdr:nvPicPr>
        <xdr:cNvPr id="4151" name="ID_E75EC3E736D547B5A190C461C70683D1"/>
        <xdr:cNvPicPr>
          <a:picLocks noChangeAspect="1"/>
        </xdr:cNvPicPr>
      </xdr:nvPicPr>
      <xdr:blipFill>
        <a:blip r:embed="rId47">
          <a:lum/>
        </a:blip>
        <a:srcRect r="4649" b="-143"/>
        <a:stretch>
          <a:fillRect/>
        </a:stretch>
      </xdr:blipFill>
      <xdr:spPr>
        <a:xfrm>
          <a:off x="142875" y="97260410"/>
          <a:ext cx="1428750" cy="1304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104775</xdr:colOff>
      <xdr:row>306</xdr:row>
      <xdr:rowOff>107950</xdr:rowOff>
    </xdr:from>
    <xdr:to>
      <xdr:col>0</xdr:col>
      <xdr:colOff>1609725</xdr:colOff>
      <xdr:row>309</xdr:row>
      <xdr:rowOff>327025</xdr:rowOff>
    </xdr:to>
    <xdr:pic>
      <xdr:nvPicPr>
        <xdr:cNvPr id="20" name="ID_19DF4C01AF204BE581EB2F6BAA827ABD" descr="1649398660(1)"/>
        <xdr:cNvPicPr>
          <a:picLocks noChangeAspect="1"/>
        </xdr:cNvPicPr>
      </xdr:nvPicPr>
      <xdr:blipFill>
        <a:blip r:embed="rId48">
          <a:lum/>
        </a:blip>
        <a:stretch>
          <a:fillRect/>
        </a:stretch>
      </xdr:blipFill>
      <xdr:spPr>
        <a:xfrm>
          <a:off x="104775" y="100644960"/>
          <a:ext cx="1504950" cy="1438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95250</xdr:colOff>
      <xdr:row>309</xdr:row>
      <xdr:rowOff>374650</xdr:rowOff>
    </xdr:from>
    <xdr:to>
      <xdr:col>0</xdr:col>
      <xdr:colOff>1600200</xdr:colOff>
      <xdr:row>313</xdr:row>
      <xdr:rowOff>187325</xdr:rowOff>
    </xdr:to>
    <xdr:pic>
      <xdr:nvPicPr>
        <xdr:cNvPr id="21" name="ID_F3D3C5F5F1BF4375900C42DF693B4DAA" descr="1649398660(1)"/>
        <xdr:cNvPicPr>
          <a:picLocks noChangeAspect="1"/>
        </xdr:cNvPicPr>
      </xdr:nvPicPr>
      <xdr:blipFill>
        <a:blip r:embed="rId48">
          <a:lum/>
        </a:blip>
        <a:stretch>
          <a:fillRect/>
        </a:stretch>
      </xdr:blipFill>
      <xdr:spPr>
        <a:xfrm>
          <a:off x="95250" y="102130860"/>
          <a:ext cx="1504950" cy="1438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109220</xdr:colOff>
      <xdr:row>314</xdr:row>
      <xdr:rowOff>133350</xdr:rowOff>
    </xdr:from>
    <xdr:to>
      <xdr:col>0</xdr:col>
      <xdr:colOff>1604645</xdr:colOff>
      <xdr:row>319</xdr:row>
      <xdr:rowOff>152400</xdr:rowOff>
    </xdr:to>
    <xdr:pic>
      <xdr:nvPicPr>
        <xdr:cNvPr id="4116" name="ID_F249A29CB76E4FD2B47C7FFD8B766038" descr="1639041496(1)"/>
        <xdr:cNvPicPr>
          <a:picLocks noChangeAspect="1"/>
        </xdr:cNvPicPr>
      </xdr:nvPicPr>
      <xdr:blipFill>
        <a:blip r:embed="rId49">
          <a:lum/>
        </a:blip>
        <a:stretch>
          <a:fillRect/>
        </a:stretch>
      </xdr:blipFill>
      <xdr:spPr>
        <a:xfrm>
          <a:off x="109220" y="103921560"/>
          <a:ext cx="1495425" cy="1416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90170</xdr:colOff>
      <xdr:row>320</xdr:row>
      <xdr:rowOff>109220</xdr:rowOff>
    </xdr:from>
    <xdr:to>
      <xdr:col>0</xdr:col>
      <xdr:colOff>1623695</xdr:colOff>
      <xdr:row>325</xdr:row>
      <xdr:rowOff>175895</xdr:rowOff>
    </xdr:to>
    <xdr:pic>
      <xdr:nvPicPr>
        <xdr:cNvPr id="4138" name="ID_642E15A33EE242A88481836F3188C691"/>
        <xdr:cNvPicPr>
          <a:picLocks noChangeAspect="1"/>
        </xdr:cNvPicPr>
      </xdr:nvPicPr>
      <xdr:blipFill>
        <a:blip r:embed="rId50">
          <a:lum/>
        </a:blip>
        <a:srcRect l="11392" r="13023" b="3516"/>
        <a:stretch>
          <a:fillRect/>
        </a:stretch>
      </xdr:blipFill>
      <xdr:spPr>
        <a:xfrm>
          <a:off x="90170" y="105573830"/>
          <a:ext cx="1533525" cy="1463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137795</xdr:colOff>
      <xdr:row>352</xdr:row>
      <xdr:rowOff>99695</xdr:rowOff>
    </xdr:from>
    <xdr:to>
      <xdr:col>0</xdr:col>
      <xdr:colOff>1576070</xdr:colOff>
      <xdr:row>353</xdr:row>
      <xdr:rowOff>617220</xdr:rowOff>
    </xdr:to>
    <xdr:pic>
      <xdr:nvPicPr>
        <xdr:cNvPr id="4117" name="ID_EE186BF14B8B4E7F9C06A41B430B0A82" descr="1639041484(1)"/>
        <xdr:cNvPicPr>
          <a:picLocks noChangeAspect="1"/>
        </xdr:cNvPicPr>
      </xdr:nvPicPr>
      <xdr:blipFill>
        <a:blip r:embed="rId51">
          <a:lum/>
        </a:blip>
        <a:stretch>
          <a:fillRect/>
        </a:stretch>
      </xdr:blipFill>
      <xdr:spPr>
        <a:xfrm>
          <a:off x="137795" y="115597305"/>
          <a:ext cx="1438275" cy="1381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133350</xdr:colOff>
      <xdr:row>354</xdr:row>
      <xdr:rowOff>137795</xdr:rowOff>
    </xdr:from>
    <xdr:to>
      <xdr:col>0</xdr:col>
      <xdr:colOff>1581150</xdr:colOff>
      <xdr:row>358</xdr:row>
      <xdr:rowOff>99695</xdr:rowOff>
    </xdr:to>
    <xdr:pic>
      <xdr:nvPicPr>
        <xdr:cNvPr id="4148" name="ID_E0D224B9144C402286E1A50494726DC8"/>
        <xdr:cNvPicPr>
          <a:picLocks noChangeAspect="1"/>
        </xdr:cNvPicPr>
      </xdr:nvPicPr>
      <xdr:blipFill>
        <a:blip r:embed="rId52">
          <a:lum/>
        </a:blip>
        <a:stretch>
          <a:fillRect/>
        </a:stretch>
      </xdr:blipFill>
      <xdr:spPr>
        <a:xfrm>
          <a:off x="133350" y="117362605"/>
          <a:ext cx="1447800" cy="1333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118745</xdr:colOff>
      <xdr:row>359</xdr:row>
      <xdr:rowOff>0</xdr:rowOff>
    </xdr:from>
    <xdr:to>
      <xdr:col>0</xdr:col>
      <xdr:colOff>1595120</xdr:colOff>
      <xdr:row>360</xdr:row>
      <xdr:rowOff>691515</xdr:rowOff>
    </xdr:to>
    <xdr:pic>
      <xdr:nvPicPr>
        <xdr:cNvPr id="4102" name="ID_F20F7FD9C4F842E0832FBF6F16EAF439" descr="02f8c6e5a13c79affdd44f9b3b5ba6e"/>
        <xdr:cNvPicPr>
          <a:picLocks noChangeAspect="1"/>
        </xdr:cNvPicPr>
      </xdr:nvPicPr>
      <xdr:blipFill>
        <a:blip r:embed="rId53">
          <a:lum/>
        </a:blip>
        <a:stretch>
          <a:fillRect/>
        </a:stretch>
      </xdr:blipFill>
      <xdr:spPr>
        <a:xfrm>
          <a:off x="118745" y="118939310"/>
          <a:ext cx="1476375" cy="1491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213995</xdr:colOff>
      <xdr:row>361</xdr:row>
      <xdr:rowOff>61595</xdr:rowOff>
    </xdr:from>
    <xdr:to>
      <xdr:col>0</xdr:col>
      <xdr:colOff>1499870</xdr:colOff>
      <xdr:row>362</xdr:row>
      <xdr:rowOff>614045</xdr:rowOff>
    </xdr:to>
    <xdr:pic>
      <xdr:nvPicPr>
        <xdr:cNvPr id="4107" name="ID_1959EC4002F147D99D63BA6D97A38C07" descr="3848151b203bdd5142f9fedfee74cfe"/>
        <xdr:cNvPicPr>
          <a:picLocks noChangeAspect="1"/>
        </xdr:cNvPicPr>
      </xdr:nvPicPr>
      <xdr:blipFill>
        <a:blip r:embed="rId54">
          <a:lum/>
        </a:blip>
        <a:srcRect b="4584"/>
        <a:stretch>
          <a:fillRect/>
        </a:stretch>
      </xdr:blipFill>
      <xdr:spPr>
        <a:xfrm>
          <a:off x="213995" y="120601105"/>
          <a:ext cx="1285875" cy="1225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166370</xdr:colOff>
      <xdr:row>363</xdr:row>
      <xdr:rowOff>47625</xdr:rowOff>
    </xdr:from>
    <xdr:to>
      <xdr:col>0</xdr:col>
      <xdr:colOff>1547495</xdr:colOff>
      <xdr:row>366</xdr:row>
      <xdr:rowOff>314325</xdr:rowOff>
    </xdr:to>
    <xdr:pic>
      <xdr:nvPicPr>
        <xdr:cNvPr id="4143" name="ID_C81B1D53BEBF483BA18DBD4D6F3D52BD"/>
        <xdr:cNvPicPr>
          <a:picLocks noChangeAspect="1"/>
        </xdr:cNvPicPr>
      </xdr:nvPicPr>
      <xdr:blipFill>
        <a:blip r:embed="rId55">
          <a:lum/>
        </a:blip>
        <a:srcRect l="10954" r="11819"/>
        <a:stretch>
          <a:fillRect/>
        </a:stretch>
      </xdr:blipFill>
      <xdr:spPr>
        <a:xfrm>
          <a:off x="166370" y="121933335"/>
          <a:ext cx="1381125" cy="1333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241300</xdr:colOff>
      <xdr:row>369</xdr:row>
      <xdr:rowOff>86360</xdr:rowOff>
    </xdr:from>
    <xdr:to>
      <xdr:col>0</xdr:col>
      <xdr:colOff>1472565</xdr:colOff>
      <xdr:row>370</xdr:row>
      <xdr:rowOff>532765</xdr:rowOff>
    </xdr:to>
    <xdr:pic>
      <xdr:nvPicPr>
        <xdr:cNvPr id="16" name="ID_F8C15001A2BC443A8BE81229F6FCF09F"/>
        <xdr:cNvPicPr>
          <a:picLocks noChangeAspect="1"/>
        </xdr:cNvPicPr>
      </xdr:nvPicPr>
      <xdr:blipFill>
        <a:blip r:embed="rId56"/>
        <a:stretch>
          <a:fillRect/>
        </a:stretch>
      </xdr:blipFill>
      <xdr:spPr>
        <a:xfrm>
          <a:off x="241300" y="124613670"/>
          <a:ext cx="1231265" cy="1056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123825</xdr:colOff>
      <xdr:row>371</xdr:row>
      <xdr:rowOff>23495</xdr:rowOff>
    </xdr:from>
    <xdr:to>
      <xdr:col>0</xdr:col>
      <xdr:colOff>1438275</xdr:colOff>
      <xdr:row>374</xdr:row>
      <xdr:rowOff>150495</xdr:rowOff>
    </xdr:to>
    <xdr:pic>
      <xdr:nvPicPr>
        <xdr:cNvPr id="4100" name="ID_347E2FCB1FF341F6859218565CC65633" descr="780017b3442cf9a3b052021a9a149a7"/>
        <xdr:cNvPicPr>
          <a:picLocks noChangeAspect="1"/>
        </xdr:cNvPicPr>
      </xdr:nvPicPr>
      <xdr:blipFill>
        <a:blip r:embed="rId57">
          <a:lum/>
        </a:blip>
        <a:stretch>
          <a:fillRect/>
        </a:stretch>
      </xdr:blipFill>
      <xdr:spPr>
        <a:xfrm>
          <a:off x="123825" y="125770005"/>
          <a:ext cx="1314450" cy="1308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85725</xdr:colOff>
      <xdr:row>378</xdr:row>
      <xdr:rowOff>52070</xdr:rowOff>
    </xdr:from>
    <xdr:to>
      <xdr:col>0</xdr:col>
      <xdr:colOff>1409065</xdr:colOff>
      <xdr:row>382</xdr:row>
      <xdr:rowOff>97155</xdr:rowOff>
    </xdr:to>
    <xdr:pic>
      <xdr:nvPicPr>
        <xdr:cNvPr id="4140" name="ID_B62B35ECE3CF428985DC4EDFF68786B6"/>
        <xdr:cNvPicPr>
          <a:picLocks noChangeAspect="1"/>
        </xdr:cNvPicPr>
      </xdr:nvPicPr>
      <xdr:blipFill>
        <a:blip r:embed="rId58">
          <a:lum/>
        </a:blip>
        <a:srcRect l="12965" t="2016" r="12132" b="2292"/>
        <a:stretch>
          <a:fillRect/>
        </a:stretch>
      </xdr:blipFill>
      <xdr:spPr>
        <a:xfrm>
          <a:off x="85725" y="128554480"/>
          <a:ext cx="1323340" cy="1264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171450</xdr:colOff>
      <xdr:row>383</xdr:row>
      <xdr:rowOff>109220</xdr:rowOff>
    </xdr:from>
    <xdr:to>
      <xdr:col>0</xdr:col>
      <xdr:colOff>1543050</xdr:colOff>
      <xdr:row>387</xdr:row>
      <xdr:rowOff>185420</xdr:rowOff>
    </xdr:to>
    <xdr:pic>
      <xdr:nvPicPr>
        <xdr:cNvPr id="4139" name="ID_A8679433E12E4115A572F86405167F26"/>
        <xdr:cNvPicPr>
          <a:picLocks noChangeAspect="1"/>
        </xdr:cNvPicPr>
      </xdr:nvPicPr>
      <xdr:blipFill>
        <a:blip r:embed="rId59">
          <a:lum/>
        </a:blip>
        <a:srcRect l="9685" t="4282" r="12102" b="784"/>
        <a:stretch>
          <a:fillRect/>
        </a:stretch>
      </xdr:blipFill>
      <xdr:spPr>
        <a:xfrm>
          <a:off x="171450" y="130135630"/>
          <a:ext cx="1371600" cy="1244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156845</xdr:colOff>
      <xdr:row>160</xdr:row>
      <xdr:rowOff>42545</xdr:rowOff>
    </xdr:from>
    <xdr:to>
      <xdr:col>0</xdr:col>
      <xdr:colOff>1557020</xdr:colOff>
      <xdr:row>162</xdr:row>
      <xdr:rowOff>64770</xdr:rowOff>
    </xdr:to>
    <xdr:pic>
      <xdr:nvPicPr>
        <xdr:cNvPr id="17" name="ID_DEC6D530CA344B80A9A5EE8A00DA3860" descr="383316385065668193"/>
        <xdr:cNvPicPr>
          <a:picLocks noChangeAspect="1"/>
        </xdr:cNvPicPr>
      </xdr:nvPicPr>
      <xdr:blipFill>
        <a:blip r:embed="rId60">
          <a:lum/>
        </a:blip>
        <a:stretch>
          <a:fillRect/>
        </a:stretch>
      </xdr:blipFill>
      <xdr:spPr>
        <a:xfrm>
          <a:off x="156845" y="54529355"/>
          <a:ext cx="1400175" cy="1393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95250</xdr:colOff>
      <xdr:row>336</xdr:row>
      <xdr:rowOff>263525</xdr:rowOff>
    </xdr:from>
    <xdr:to>
      <xdr:col>0</xdr:col>
      <xdr:colOff>1570355</xdr:colOff>
      <xdr:row>341</xdr:row>
      <xdr:rowOff>60960</xdr:rowOff>
    </xdr:to>
    <xdr:pic>
      <xdr:nvPicPr>
        <xdr:cNvPr id="23" name="图片 22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95250" y="110249335"/>
          <a:ext cx="1475105" cy="1257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104775</xdr:colOff>
      <xdr:row>332</xdr:row>
      <xdr:rowOff>78740</xdr:rowOff>
    </xdr:from>
    <xdr:to>
      <xdr:col>0</xdr:col>
      <xdr:colOff>1564005</xdr:colOff>
      <xdr:row>336</xdr:row>
      <xdr:rowOff>162560</xdr:rowOff>
    </xdr:to>
    <xdr:pic>
      <xdr:nvPicPr>
        <xdr:cNvPr id="24" name="图片 23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104775" y="108896150"/>
          <a:ext cx="1459230" cy="1252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76200</xdr:colOff>
      <xdr:row>350</xdr:row>
      <xdr:rowOff>82550</xdr:rowOff>
    </xdr:from>
    <xdr:to>
      <xdr:col>0</xdr:col>
      <xdr:colOff>1497965</xdr:colOff>
      <xdr:row>351</xdr:row>
      <xdr:rowOff>671195</xdr:rowOff>
    </xdr:to>
    <xdr:pic>
      <xdr:nvPicPr>
        <xdr:cNvPr id="26" name="图片 25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76200" y="114157760"/>
          <a:ext cx="1421765" cy="1299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71755</xdr:colOff>
      <xdr:row>244</xdr:row>
      <xdr:rowOff>62865</xdr:rowOff>
    </xdr:from>
    <xdr:to>
      <xdr:col>0</xdr:col>
      <xdr:colOff>1624965</xdr:colOff>
      <xdr:row>245</xdr:row>
      <xdr:rowOff>612775</xdr:rowOff>
    </xdr:to>
    <xdr:pic>
      <xdr:nvPicPr>
        <xdr:cNvPr id="30" name="图片 29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71755" y="78819375"/>
          <a:ext cx="1553210" cy="1261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95250</xdr:colOff>
      <xdr:row>211</xdr:row>
      <xdr:rowOff>81915</xdr:rowOff>
    </xdr:from>
    <xdr:to>
      <xdr:col>0</xdr:col>
      <xdr:colOff>1667510</xdr:colOff>
      <xdr:row>216</xdr:row>
      <xdr:rowOff>133985</xdr:rowOff>
    </xdr:to>
    <xdr:pic>
      <xdr:nvPicPr>
        <xdr:cNvPr id="22" name="图片 21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95250" y="68653025"/>
          <a:ext cx="1572260" cy="1385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85725</xdr:colOff>
      <xdr:row>58</xdr:row>
      <xdr:rowOff>69215</xdr:rowOff>
    </xdr:from>
    <xdr:to>
      <xdr:col>0</xdr:col>
      <xdr:colOff>1581150</xdr:colOff>
      <xdr:row>61</xdr:row>
      <xdr:rowOff>267970</xdr:rowOff>
    </xdr:to>
    <xdr:pic>
      <xdr:nvPicPr>
        <xdr:cNvPr id="25" name="图片 24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85725" y="24622125"/>
          <a:ext cx="1495425" cy="12655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127635</xdr:colOff>
      <xdr:row>277</xdr:row>
      <xdr:rowOff>98425</xdr:rowOff>
    </xdr:from>
    <xdr:to>
      <xdr:col>0</xdr:col>
      <xdr:colOff>1590675</xdr:colOff>
      <xdr:row>282</xdr:row>
      <xdr:rowOff>122555</xdr:rowOff>
    </xdr:to>
    <xdr:pic>
      <xdr:nvPicPr>
        <xdr:cNvPr id="8" name="图片 7"/>
        <xdr:cNvPicPr>
          <a:picLocks noChangeAspect="1"/>
        </xdr:cNvPicPr>
      </xdr:nvPicPr>
      <xdr:blipFill>
        <a:blip r:embed="rId67"/>
        <a:srcRect l="2409" r="5517"/>
        <a:stretch>
          <a:fillRect/>
        </a:stretch>
      </xdr:blipFill>
      <xdr:spPr>
        <a:xfrm>
          <a:off x="127635" y="93701235"/>
          <a:ext cx="1463040" cy="1357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90170</xdr:colOff>
      <xdr:row>62</xdr:row>
      <xdr:rowOff>51435</xdr:rowOff>
    </xdr:from>
    <xdr:to>
      <xdr:col>0</xdr:col>
      <xdr:colOff>1623695</xdr:colOff>
      <xdr:row>65</xdr:row>
      <xdr:rowOff>284480</xdr:rowOff>
    </xdr:to>
    <xdr:pic>
      <xdr:nvPicPr>
        <xdr:cNvPr id="18" name="ID_080056BB4FA842EDA685B6A3DD4A977E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90170" y="26001345"/>
          <a:ext cx="1533525" cy="1376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76200</xdr:colOff>
      <xdr:row>254</xdr:row>
      <xdr:rowOff>25400</xdr:rowOff>
    </xdr:from>
    <xdr:to>
      <xdr:col>0</xdr:col>
      <xdr:colOff>1600835</xdr:colOff>
      <xdr:row>255</xdr:row>
      <xdr:rowOff>565785</xdr:rowOff>
    </xdr:to>
    <xdr:pic>
      <xdr:nvPicPr>
        <xdr:cNvPr id="29" name="图片 28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76200" y="86401910"/>
          <a:ext cx="1524635" cy="11499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106680</xdr:colOff>
      <xdr:row>246</xdr:row>
      <xdr:rowOff>25400</xdr:rowOff>
    </xdr:from>
    <xdr:to>
      <xdr:col>0</xdr:col>
      <xdr:colOff>1532890</xdr:colOff>
      <xdr:row>246</xdr:row>
      <xdr:rowOff>1329055</xdr:rowOff>
    </xdr:to>
    <xdr:pic>
      <xdr:nvPicPr>
        <xdr:cNvPr id="7" name="图片 6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106680" y="80153510"/>
          <a:ext cx="1426210" cy="1303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140335</xdr:colOff>
      <xdr:row>155</xdr:row>
      <xdr:rowOff>58420</xdr:rowOff>
    </xdr:from>
    <xdr:to>
      <xdr:col>0</xdr:col>
      <xdr:colOff>1515110</xdr:colOff>
      <xdr:row>158</xdr:row>
      <xdr:rowOff>306070</xdr:rowOff>
    </xdr:to>
    <xdr:pic>
      <xdr:nvPicPr>
        <xdr:cNvPr id="27" name="图片 26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140335" y="52830730"/>
          <a:ext cx="1374775" cy="1276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114300</xdr:colOff>
      <xdr:row>374</xdr:row>
      <xdr:rowOff>182245</xdr:rowOff>
    </xdr:from>
    <xdr:to>
      <xdr:col>0</xdr:col>
      <xdr:colOff>1427480</xdr:colOff>
      <xdr:row>377</xdr:row>
      <xdr:rowOff>133350</xdr:rowOff>
    </xdr:to>
    <xdr:pic>
      <xdr:nvPicPr>
        <xdr:cNvPr id="28" name="图片 27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114300" y="127109855"/>
          <a:ext cx="1313180" cy="11322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247650</xdr:colOff>
      <xdr:row>367</xdr:row>
      <xdr:rowOff>63500</xdr:rowOff>
    </xdr:from>
    <xdr:to>
      <xdr:col>0</xdr:col>
      <xdr:colOff>1466850</xdr:colOff>
      <xdr:row>368</xdr:row>
      <xdr:rowOff>555625</xdr:rowOff>
    </xdr:to>
    <xdr:pic>
      <xdr:nvPicPr>
        <xdr:cNvPr id="32" name="ID_1A0967B295A745398179AB8ACFB4E906"/>
        <xdr:cNvPicPr>
          <a:picLocks noChangeAspect="1"/>
        </xdr:cNvPicPr>
      </xdr:nvPicPr>
      <xdr:blipFill>
        <a:blip r:embed="rId73">
          <a:lum/>
        </a:blip>
        <a:stretch>
          <a:fillRect/>
        </a:stretch>
      </xdr:blipFill>
      <xdr:spPr>
        <a:xfrm>
          <a:off x="247650" y="123371610"/>
          <a:ext cx="1219200" cy="1101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161925</xdr:colOff>
      <xdr:row>13</xdr:row>
      <xdr:rowOff>426085</xdr:rowOff>
    </xdr:from>
    <xdr:to>
      <xdr:col>0</xdr:col>
      <xdr:colOff>1518920</xdr:colOff>
      <xdr:row>14</xdr:row>
      <xdr:rowOff>838200</xdr:rowOff>
    </xdr:to>
    <xdr:pic>
      <xdr:nvPicPr>
        <xdr:cNvPr id="33" name="图片 32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161925" y="7071995"/>
          <a:ext cx="1356995" cy="1288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57150</xdr:colOff>
      <xdr:row>43</xdr:row>
      <xdr:rowOff>27940</xdr:rowOff>
    </xdr:from>
    <xdr:to>
      <xdr:col>0</xdr:col>
      <xdr:colOff>1581150</xdr:colOff>
      <xdr:row>44</xdr:row>
      <xdr:rowOff>723900</xdr:rowOff>
    </xdr:to>
    <xdr:pic>
      <xdr:nvPicPr>
        <xdr:cNvPr id="34" name="图片 33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57150" y="18230850"/>
          <a:ext cx="1524000" cy="144526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198120</xdr:colOff>
      <xdr:row>6</xdr:row>
      <xdr:rowOff>41275</xdr:rowOff>
    </xdr:from>
    <xdr:to>
      <xdr:col>0</xdr:col>
      <xdr:colOff>1550670</xdr:colOff>
      <xdr:row>6</xdr:row>
      <xdr:rowOff>1393825</xdr:rowOff>
    </xdr:to>
    <xdr:pic>
      <xdr:nvPicPr>
        <xdr:cNvPr id="5122" name="Picture 11009"/>
        <xdr:cNvPicPr>
          <a:picLocks noChangeAspect="1"/>
        </xdr:cNvPicPr>
      </xdr:nvPicPr>
      <xdr:blipFill>
        <a:blip r:embed="rId1">
          <a:lum/>
        </a:blip>
        <a:stretch>
          <a:fillRect/>
        </a:stretch>
      </xdr:blipFill>
      <xdr:spPr>
        <a:xfrm>
          <a:off x="198120" y="4549775"/>
          <a:ext cx="1352550" cy="1352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95250</xdr:colOff>
      <xdr:row>296</xdr:row>
      <xdr:rowOff>47625</xdr:rowOff>
    </xdr:from>
    <xdr:to>
      <xdr:col>0</xdr:col>
      <xdr:colOff>1609725</xdr:colOff>
      <xdr:row>296</xdr:row>
      <xdr:rowOff>1571625</xdr:rowOff>
    </xdr:to>
    <xdr:pic>
      <xdr:nvPicPr>
        <xdr:cNvPr id="5123" name="图片 4" descr="fe3531d2ca1d5c4e95d53c695d18d6f"/>
        <xdr:cNvPicPr>
          <a:picLocks noChangeAspect="1"/>
        </xdr:cNvPicPr>
      </xdr:nvPicPr>
      <xdr:blipFill>
        <a:blip r:embed="rId2">
          <a:lum/>
        </a:blip>
        <a:stretch>
          <a:fillRect/>
        </a:stretch>
      </xdr:blipFill>
      <xdr:spPr>
        <a:xfrm>
          <a:off x="95250" y="107212130"/>
          <a:ext cx="1514475" cy="1524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104775</xdr:colOff>
      <xdr:row>225</xdr:row>
      <xdr:rowOff>57150</xdr:rowOff>
    </xdr:from>
    <xdr:to>
      <xdr:col>0</xdr:col>
      <xdr:colOff>1618615</xdr:colOff>
      <xdr:row>226</xdr:row>
      <xdr:rowOff>761365</xdr:rowOff>
    </xdr:to>
    <xdr:pic>
      <xdr:nvPicPr>
        <xdr:cNvPr id="5124" name="图片 2"/>
        <xdr:cNvPicPr>
          <a:picLocks noChangeAspect="1"/>
        </xdr:cNvPicPr>
      </xdr:nvPicPr>
      <xdr:blipFill>
        <a:blip r:embed="rId3">
          <a:lum/>
        </a:blip>
        <a:stretch>
          <a:fillRect/>
        </a:stretch>
      </xdr:blipFill>
      <xdr:spPr>
        <a:xfrm>
          <a:off x="104775" y="78392655"/>
          <a:ext cx="1513840" cy="151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209550</xdr:colOff>
      <xdr:row>358</xdr:row>
      <xdr:rowOff>76200</xdr:rowOff>
    </xdr:from>
    <xdr:to>
      <xdr:col>0</xdr:col>
      <xdr:colOff>1533525</xdr:colOff>
      <xdr:row>359</xdr:row>
      <xdr:rowOff>628650</xdr:rowOff>
    </xdr:to>
    <xdr:pic>
      <xdr:nvPicPr>
        <xdr:cNvPr id="5125" name="图片 21" descr="1dfd334ef1b26923dd28a5474367d8d"/>
        <xdr:cNvPicPr>
          <a:picLocks noChangeAspect="1"/>
        </xdr:cNvPicPr>
      </xdr:nvPicPr>
      <xdr:blipFill>
        <a:blip r:embed="rId4">
          <a:lum/>
        </a:blip>
        <a:srcRect l="8772" r="9943"/>
        <a:stretch>
          <a:fillRect/>
        </a:stretch>
      </xdr:blipFill>
      <xdr:spPr>
        <a:xfrm>
          <a:off x="209550" y="148020405"/>
          <a:ext cx="1323975" cy="1327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238125</xdr:colOff>
      <xdr:row>14</xdr:row>
      <xdr:rowOff>314325</xdr:rowOff>
    </xdr:from>
    <xdr:to>
      <xdr:col>0</xdr:col>
      <xdr:colOff>1600200</xdr:colOff>
      <xdr:row>17</xdr:row>
      <xdr:rowOff>342900</xdr:rowOff>
    </xdr:to>
    <xdr:pic>
      <xdr:nvPicPr>
        <xdr:cNvPr id="5129" name="图片 42" descr="1623579000(1)"/>
        <xdr:cNvPicPr>
          <a:picLocks noChangeAspect="1"/>
        </xdr:cNvPicPr>
      </xdr:nvPicPr>
      <xdr:blipFill>
        <a:blip r:embed="rId5">
          <a:lum/>
        </a:blip>
        <a:stretch>
          <a:fillRect/>
        </a:stretch>
      </xdr:blipFill>
      <xdr:spPr>
        <a:xfrm>
          <a:off x="238125" y="10448925"/>
          <a:ext cx="1362075" cy="128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0</xdr:colOff>
      <xdr:row>112</xdr:row>
      <xdr:rowOff>238125</xdr:rowOff>
    </xdr:from>
    <xdr:to>
      <xdr:col>11</xdr:col>
      <xdr:colOff>445770</xdr:colOff>
      <xdr:row>115</xdr:row>
      <xdr:rowOff>200025</xdr:rowOff>
    </xdr:to>
    <xdr:pic>
      <xdr:nvPicPr>
        <xdr:cNvPr id="5131" name="图片 27"/>
        <xdr:cNvPicPr>
          <a:picLocks noChangeAspect="1"/>
        </xdr:cNvPicPr>
      </xdr:nvPicPr>
      <xdr:blipFill>
        <a:blip r:embed="rId6">
          <a:lum/>
        </a:blip>
        <a:stretch>
          <a:fillRect/>
        </a:stretch>
      </xdr:blipFill>
      <xdr:spPr>
        <a:xfrm>
          <a:off x="13004165" y="45831125"/>
          <a:ext cx="1131570" cy="787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123825</xdr:colOff>
      <xdr:row>9</xdr:row>
      <xdr:rowOff>28575</xdr:rowOff>
    </xdr:from>
    <xdr:to>
      <xdr:col>0</xdr:col>
      <xdr:colOff>1619250</xdr:colOff>
      <xdr:row>10</xdr:row>
      <xdr:rowOff>695325</xdr:rowOff>
    </xdr:to>
    <xdr:pic>
      <xdr:nvPicPr>
        <xdr:cNvPr id="5132" name="图片 11"/>
        <xdr:cNvPicPr>
          <a:picLocks noChangeAspect="1"/>
        </xdr:cNvPicPr>
      </xdr:nvPicPr>
      <xdr:blipFill>
        <a:blip r:embed="rId7">
          <a:lum/>
        </a:blip>
        <a:stretch>
          <a:fillRect/>
        </a:stretch>
      </xdr:blipFill>
      <xdr:spPr>
        <a:xfrm>
          <a:off x="123825" y="7483475"/>
          <a:ext cx="1495425" cy="1377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66675</xdr:colOff>
      <xdr:row>77</xdr:row>
      <xdr:rowOff>0</xdr:rowOff>
    </xdr:from>
    <xdr:to>
      <xdr:col>0</xdr:col>
      <xdr:colOff>1457960</xdr:colOff>
      <xdr:row>80</xdr:row>
      <xdr:rowOff>346075</xdr:rowOff>
    </xdr:to>
    <xdr:pic>
      <xdr:nvPicPr>
        <xdr:cNvPr id="5133" name="图片 48" descr="a62df93c7346079f7ef331d54b86abe"/>
        <xdr:cNvPicPr>
          <a:picLocks noChangeAspect="1"/>
        </xdr:cNvPicPr>
      </xdr:nvPicPr>
      <xdr:blipFill>
        <a:blip r:embed="rId8">
          <a:lum/>
        </a:blip>
        <a:stretch>
          <a:fillRect/>
        </a:stretch>
      </xdr:blipFill>
      <xdr:spPr>
        <a:xfrm>
          <a:off x="66675" y="31381700"/>
          <a:ext cx="1391285" cy="1412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76200</xdr:colOff>
      <xdr:row>113</xdr:row>
      <xdr:rowOff>47625</xdr:rowOff>
    </xdr:from>
    <xdr:to>
      <xdr:col>0</xdr:col>
      <xdr:colOff>1476375</xdr:colOff>
      <xdr:row>117</xdr:row>
      <xdr:rowOff>238125</xdr:rowOff>
    </xdr:to>
    <xdr:pic>
      <xdr:nvPicPr>
        <xdr:cNvPr id="5134" name="图片 49" descr="1639042463(1)"/>
        <xdr:cNvPicPr>
          <a:picLocks noChangeAspect="1"/>
        </xdr:cNvPicPr>
      </xdr:nvPicPr>
      <xdr:blipFill>
        <a:blip r:embed="rId9">
          <a:lum/>
        </a:blip>
        <a:stretch>
          <a:fillRect/>
        </a:stretch>
      </xdr:blipFill>
      <xdr:spPr>
        <a:xfrm>
          <a:off x="76200" y="45907325"/>
          <a:ext cx="1400175" cy="1308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57150</xdr:colOff>
      <xdr:row>73</xdr:row>
      <xdr:rowOff>34925</xdr:rowOff>
    </xdr:from>
    <xdr:to>
      <xdr:col>0</xdr:col>
      <xdr:colOff>1483995</xdr:colOff>
      <xdr:row>76</xdr:row>
      <xdr:rowOff>311150</xdr:rowOff>
    </xdr:to>
    <xdr:pic>
      <xdr:nvPicPr>
        <xdr:cNvPr id="5135" name="图片 8" descr="1649398557(1)"/>
        <xdr:cNvPicPr>
          <a:picLocks noChangeAspect="1"/>
        </xdr:cNvPicPr>
      </xdr:nvPicPr>
      <xdr:blipFill>
        <a:blip r:embed="rId10">
          <a:lum/>
        </a:blip>
        <a:stretch>
          <a:fillRect/>
        </a:stretch>
      </xdr:blipFill>
      <xdr:spPr>
        <a:xfrm>
          <a:off x="57150" y="29994225"/>
          <a:ext cx="1426845" cy="1343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95250</xdr:colOff>
      <xdr:row>307</xdr:row>
      <xdr:rowOff>66675</xdr:rowOff>
    </xdr:from>
    <xdr:to>
      <xdr:col>0</xdr:col>
      <xdr:colOff>1638300</xdr:colOff>
      <xdr:row>309</xdr:row>
      <xdr:rowOff>450850</xdr:rowOff>
    </xdr:to>
    <xdr:pic>
      <xdr:nvPicPr>
        <xdr:cNvPr id="5136" name="图片 26" descr="1649398974(1)"/>
        <xdr:cNvPicPr>
          <a:picLocks noChangeAspect="1"/>
        </xdr:cNvPicPr>
      </xdr:nvPicPr>
      <xdr:blipFill>
        <a:blip r:embed="rId11">
          <a:lum/>
        </a:blip>
        <a:stretch>
          <a:fillRect/>
        </a:stretch>
      </xdr:blipFill>
      <xdr:spPr>
        <a:xfrm>
          <a:off x="95250" y="113504980"/>
          <a:ext cx="1543050" cy="1476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104775</xdr:colOff>
      <xdr:row>136</xdr:row>
      <xdr:rowOff>76200</xdr:rowOff>
    </xdr:from>
    <xdr:to>
      <xdr:col>0</xdr:col>
      <xdr:colOff>1590675</xdr:colOff>
      <xdr:row>142</xdr:row>
      <xdr:rowOff>123825</xdr:rowOff>
    </xdr:to>
    <xdr:pic>
      <xdr:nvPicPr>
        <xdr:cNvPr id="5137" name="图片 34" descr="1649399174(1)"/>
        <xdr:cNvPicPr>
          <a:picLocks noChangeAspect="1"/>
        </xdr:cNvPicPr>
      </xdr:nvPicPr>
      <xdr:blipFill>
        <a:blip r:embed="rId12">
          <a:lum/>
        </a:blip>
        <a:stretch>
          <a:fillRect/>
        </a:stretch>
      </xdr:blipFill>
      <xdr:spPr>
        <a:xfrm>
          <a:off x="104775" y="52516405"/>
          <a:ext cx="1485900" cy="1419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85725</xdr:colOff>
      <xdr:row>263</xdr:row>
      <xdr:rowOff>57150</xdr:rowOff>
    </xdr:from>
    <xdr:to>
      <xdr:col>0</xdr:col>
      <xdr:colOff>1590675</xdr:colOff>
      <xdr:row>267</xdr:row>
      <xdr:rowOff>137160</xdr:rowOff>
    </xdr:to>
    <xdr:pic>
      <xdr:nvPicPr>
        <xdr:cNvPr id="5138" name="图片 50" descr="1649399246(1)"/>
        <xdr:cNvPicPr>
          <a:picLocks noChangeAspect="1"/>
        </xdr:cNvPicPr>
      </xdr:nvPicPr>
      <xdr:blipFill>
        <a:blip r:embed="rId13">
          <a:lum/>
        </a:blip>
        <a:stretch>
          <a:fillRect/>
        </a:stretch>
      </xdr:blipFill>
      <xdr:spPr>
        <a:xfrm>
          <a:off x="85725" y="94305755"/>
          <a:ext cx="1504950" cy="1502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0</xdr:colOff>
      <xdr:row>263</xdr:row>
      <xdr:rowOff>133350</xdr:rowOff>
    </xdr:from>
    <xdr:to>
      <xdr:col>11</xdr:col>
      <xdr:colOff>447675</xdr:colOff>
      <xdr:row>266</xdr:row>
      <xdr:rowOff>174625</xdr:rowOff>
    </xdr:to>
    <xdr:pic>
      <xdr:nvPicPr>
        <xdr:cNvPr id="5139" name="图片 51" descr="1649399267(1)"/>
        <xdr:cNvPicPr>
          <a:picLocks noChangeAspect="1"/>
        </xdr:cNvPicPr>
      </xdr:nvPicPr>
      <xdr:blipFill>
        <a:blip r:embed="rId14">
          <a:lum/>
        </a:blip>
        <a:stretch>
          <a:fillRect/>
        </a:stretch>
      </xdr:blipFill>
      <xdr:spPr>
        <a:xfrm>
          <a:off x="13004165" y="94381955"/>
          <a:ext cx="1133475" cy="1108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114300</xdr:colOff>
      <xdr:row>206</xdr:row>
      <xdr:rowOff>40640</xdr:rowOff>
    </xdr:from>
    <xdr:to>
      <xdr:col>0</xdr:col>
      <xdr:colOff>1597025</xdr:colOff>
      <xdr:row>209</xdr:row>
      <xdr:rowOff>307340</xdr:rowOff>
    </xdr:to>
    <xdr:pic>
      <xdr:nvPicPr>
        <xdr:cNvPr id="5140" name="图片 13" descr="a7b2d71138a3657f8edf2821cb7df4c"/>
        <xdr:cNvPicPr>
          <a:picLocks noChangeAspect="1"/>
        </xdr:cNvPicPr>
      </xdr:nvPicPr>
      <xdr:blipFill>
        <a:blip r:embed="rId15">
          <a:lum/>
        </a:blip>
        <a:srcRect l="7547" r="9434"/>
        <a:stretch>
          <a:fillRect/>
        </a:stretch>
      </xdr:blipFill>
      <xdr:spPr>
        <a:xfrm>
          <a:off x="114300" y="72356345"/>
          <a:ext cx="1482725" cy="1371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57150</xdr:colOff>
      <xdr:row>25</xdr:row>
      <xdr:rowOff>66675</xdr:rowOff>
    </xdr:from>
    <xdr:to>
      <xdr:col>0</xdr:col>
      <xdr:colOff>1590675</xdr:colOff>
      <xdr:row>29</xdr:row>
      <xdr:rowOff>19050</xdr:rowOff>
    </xdr:to>
    <xdr:pic>
      <xdr:nvPicPr>
        <xdr:cNvPr id="5141" name="图片 17" descr="d3fe55cd25fa571ecbdc9aff70ec1b3"/>
        <xdr:cNvPicPr>
          <a:picLocks noChangeAspect="1"/>
        </xdr:cNvPicPr>
      </xdr:nvPicPr>
      <xdr:blipFill>
        <a:blip r:embed="rId16">
          <a:lum/>
        </a:blip>
        <a:srcRect l="4837" r="8635"/>
        <a:stretch>
          <a:fillRect/>
        </a:stretch>
      </xdr:blipFill>
      <xdr:spPr>
        <a:xfrm>
          <a:off x="57150" y="14011275"/>
          <a:ext cx="1533525" cy="1323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123825</xdr:colOff>
      <xdr:row>356</xdr:row>
      <xdr:rowOff>66675</xdr:rowOff>
    </xdr:from>
    <xdr:to>
      <xdr:col>0</xdr:col>
      <xdr:colOff>1552575</xdr:colOff>
      <xdr:row>356</xdr:row>
      <xdr:rowOff>1323975</xdr:rowOff>
    </xdr:to>
    <xdr:pic>
      <xdr:nvPicPr>
        <xdr:cNvPr id="5142" name="图片 3" descr="03f7cb03281005205c3b3729b18b957"/>
        <xdr:cNvPicPr>
          <a:picLocks noChangeAspect="1"/>
        </xdr:cNvPicPr>
      </xdr:nvPicPr>
      <xdr:blipFill>
        <a:blip r:embed="rId17">
          <a:lum/>
        </a:blip>
        <a:srcRect l="6857" r="7430"/>
        <a:stretch>
          <a:fillRect/>
        </a:stretch>
      </xdr:blipFill>
      <xdr:spPr>
        <a:xfrm>
          <a:off x="123825" y="144975580"/>
          <a:ext cx="1428750" cy="1257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123825</xdr:colOff>
      <xdr:row>210</xdr:row>
      <xdr:rowOff>114300</xdr:rowOff>
    </xdr:from>
    <xdr:to>
      <xdr:col>0</xdr:col>
      <xdr:colOff>1657350</xdr:colOff>
      <xdr:row>215</xdr:row>
      <xdr:rowOff>38100</xdr:rowOff>
    </xdr:to>
    <xdr:pic>
      <xdr:nvPicPr>
        <xdr:cNvPr id="5143" name="图片 47" descr="1653126938(1)"/>
        <xdr:cNvPicPr>
          <a:picLocks noChangeAspect="1"/>
        </xdr:cNvPicPr>
      </xdr:nvPicPr>
      <xdr:blipFill>
        <a:blip r:embed="rId18">
          <a:lum/>
        </a:blip>
        <a:stretch>
          <a:fillRect/>
        </a:stretch>
      </xdr:blipFill>
      <xdr:spPr>
        <a:xfrm>
          <a:off x="123825" y="73903205"/>
          <a:ext cx="1533525" cy="1257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152400</xdr:colOff>
      <xdr:row>220</xdr:row>
      <xdr:rowOff>38100</xdr:rowOff>
    </xdr:from>
    <xdr:to>
      <xdr:col>0</xdr:col>
      <xdr:colOff>1638300</xdr:colOff>
      <xdr:row>224</xdr:row>
      <xdr:rowOff>180975</xdr:rowOff>
    </xdr:to>
    <xdr:pic>
      <xdr:nvPicPr>
        <xdr:cNvPr id="5147" name="图片 55" descr="f7da061efc1eb9071a921587ed8ebb5"/>
        <xdr:cNvPicPr>
          <a:picLocks noChangeAspect="1"/>
        </xdr:cNvPicPr>
      </xdr:nvPicPr>
      <xdr:blipFill>
        <a:blip r:embed="rId19">
          <a:lum/>
        </a:blip>
        <a:srcRect l="8817" r="9148"/>
        <a:stretch>
          <a:fillRect/>
        </a:stretch>
      </xdr:blipFill>
      <xdr:spPr>
        <a:xfrm>
          <a:off x="152400" y="76849605"/>
          <a:ext cx="1485900" cy="1362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209550</xdr:colOff>
      <xdr:row>357</xdr:row>
      <xdr:rowOff>66675</xdr:rowOff>
    </xdr:from>
    <xdr:to>
      <xdr:col>0</xdr:col>
      <xdr:colOff>1590675</xdr:colOff>
      <xdr:row>357</xdr:row>
      <xdr:rowOff>1514475</xdr:rowOff>
    </xdr:to>
    <xdr:pic>
      <xdr:nvPicPr>
        <xdr:cNvPr id="5148" name="图片 29" descr="1666419504663"/>
        <xdr:cNvPicPr>
          <a:picLocks noChangeAspect="1"/>
        </xdr:cNvPicPr>
      </xdr:nvPicPr>
      <xdr:blipFill>
        <a:blip r:embed="rId20">
          <a:lum/>
        </a:blip>
        <a:stretch>
          <a:fillRect/>
        </a:stretch>
      </xdr:blipFill>
      <xdr:spPr>
        <a:xfrm>
          <a:off x="209550" y="146423380"/>
          <a:ext cx="1381125" cy="1447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104775</xdr:colOff>
      <xdr:row>316</xdr:row>
      <xdr:rowOff>28575</xdr:rowOff>
    </xdr:from>
    <xdr:to>
      <xdr:col>0</xdr:col>
      <xdr:colOff>1571625</xdr:colOff>
      <xdr:row>318</xdr:row>
      <xdr:rowOff>409575</xdr:rowOff>
    </xdr:to>
    <xdr:pic>
      <xdr:nvPicPr>
        <xdr:cNvPr id="5149" name="图片 61" descr="be46477c519d84a68cc48fbbded04dc"/>
        <xdr:cNvPicPr>
          <a:picLocks noChangeAspect="1"/>
        </xdr:cNvPicPr>
      </xdr:nvPicPr>
      <xdr:blipFill>
        <a:blip r:embed="rId21">
          <a:lum/>
        </a:blip>
        <a:srcRect l="7326" r="5898"/>
        <a:stretch>
          <a:fillRect/>
        </a:stretch>
      </xdr:blipFill>
      <xdr:spPr>
        <a:xfrm>
          <a:off x="104775" y="120934480"/>
          <a:ext cx="1466850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76200</xdr:colOff>
      <xdr:row>166</xdr:row>
      <xdr:rowOff>38100</xdr:rowOff>
    </xdr:from>
    <xdr:to>
      <xdr:col>0</xdr:col>
      <xdr:colOff>1512570</xdr:colOff>
      <xdr:row>170</xdr:row>
      <xdr:rowOff>81915</xdr:rowOff>
    </xdr:to>
    <xdr:pic>
      <xdr:nvPicPr>
        <xdr:cNvPr id="5150" name="图片 63" descr="41684a01e208931eb5bd676d6f6269a"/>
        <xdr:cNvPicPr>
          <a:picLocks noChangeAspect="1"/>
        </xdr:cNvPicPr>
      </xdr:nvPicPr>
      <xdr:blipFill>
        <a:blip r:embed="rId22">
          <a:lum/>
        </a:blip>
        <a:srcRect l="4362" r="8397" b="3835"/>
        <a:stretch>
          <a:fillRect/>
        </a:stretch>
      </xdr:blipFill>
      <xdr:spPr>
        <a:xfrm>
          <a:off x="76200" y="60326905"/>
          <a:ext cx="1436370" cy="1364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122</xdr:row>
      <xdr:rowOff>0</xdr:rowOff>
    </xdr:from>
    <xdr:to>
      <xdr:col>0</xdr:col>
      <xdr:colOff>19050</xdr:colOff>
      <xdr:row>130</xdr:row>
      <xdr:rowOff>12700</xdr:rowOff>
    </xdr:to>
    <xdr:pic>
      <xdr:nvPicPr>
        <xdr:cNvPr id="5152" name="图片 33" descr="50454871d8930a894e50c99227e0bf2"/>
        <xdr:cNvPicPr>
          <a:picLocks noChangeAspect="1"/>
        </xdr:cNvPicPr>
      </xdr:nvPicPr>
      <xdr:blipFill>
        <a:blip r:embed="rId23">
          <a:lum/>
        </a:blip>
        <a:stretch>
          <a:fillRect/>
        </a:stretch>
      </xdr:blipFill>
      <xdr:spPr>
        <a:xfrm flipH="1">
          <a:off x="9525" y="48374300"/>
          <a:ext cx="9525" cy="2247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76200</xdr:colOff>
      <xdr:row>351</xdr:row>
      <xdr:rowOff>66675</xdr:rowOff>
    </xdr:from>
    <xdr:to>
      <xdr:col>0</xdr:col>
      <xdr:colOff>1590675</xdr:colOff>
      <xdr:row>352</xdr:row>
      <xdr:rowOff>571500</xdr:rowOff>
    </xdr:to>
    <xdr:pic>
      <xdr:nvPicPr>
        <xdr:cNvPr id="5153" name="图片 58" descr="1670496983484"/>
        <xdr:cNvPicPr>
          <a:picLocks noChangeAspect="1"/>
        </xdr:cNvPicPr>
      </xdr:nvPicPr>
      <xdr:blipFill>
        <a:blip r:embed="rId24">
          <a:lum/>
        </a:blip>
        <a:srcRect r="3465"/>
        <a:stretch>
          <a:fillRect/>
        </a:stretch>
      </xdr:blipFill>
      <xdr:spPr>
        <a:xfrm>
          <a:off x="76200" y="140492480"/>
          <a:ext cx="1514475" cy="1203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85725</xdr:colOff>
      <xdr:row>349</xdr:row>
      <xdr:rowOff>38100</xdr:rowOff>
    </xdr:from>
    <xdr:to>
      <xdr:col>0</xdr:col>
      <xdr:colOff>1514475</xdr:colOff>
      <xdr:row>350</xdr:row>
      <xdr:rowOff>638175</xdr:rowOff>
    </xdr:to>
    <xdr:pic>
      <xdr:nvPicPr>
        <xdr:cNvPr id="5154" name="图片 59" descr="10e5db8bb51e755babbb2265047231a"/>
        <xdr:cNvPicPr>
          <a:picLocks noChangeAspect="1"/>
        </xdr:cNvPicPr>
      </xdr:nvPicPr>
      <xdr:blipFill>
        <a:blip r:embed="rId25">
          <a:lum/>
        </a:blip>
        <a:srcRect l="6000" r="11501"/>
        <a:stretch>
          <a:fillRect/>
        </a:stretch>
      </xdr:blipFill>
      <xdr:spPr>
        <a:xfrm>
          <a:off x="85725" y="139066905"/>
          <a:ext cx="1428750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85725</xdr:colOff>
      <xdr:row>216</xdr:row>
      <xdr:rowOff>57150</xdr:rowOff>
    </xdr:from>
    <xdr:to>
      <xdr:col>0</xdr:col>
      <xdr:colOff>1552575</xdr:colOff>
      <xdr:row>219</xdr:row>
      <xdr:rowOff>266700</xdr:rowOff>
    </xdr:to>
    <xdr:pic>
      <xdr:nvPicPr>
        <xdr:cNvPr id="5155" name="图片 57"/>
        <xdr:cNvPicPr>
          <a:picLocks noChangeAspect="1"/>
        </xdr:cNvPicPr>
      </xdr:nvPicPr>
      <xdr:blipFill>
        <a:blip r:embed="rId26">
          <a:lum/>
        </a:blip>
        <a:stretch>
          <a:fillRect/>
        </a:stretch>
      </xdr:blipFill>
      <xdr:spPr>
        <a:xfrm>
          <a:off x="85725" y="75446255"/>
          <a:ext cx="1466850" cy="1276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95250</xdr:colOff>
      <xdr:row>353</xdr:row>
      <xdr:rowOff>38100</xdr:rowOff>
    </xdr:from>
    <xdr:to>
      <xdr:col>0</xdr:col>
      <xdr:colOff>1638300</xdr:colOff>
      <xdr:row>354</xdr:row>
      <xdr:rowOff>628650</xdr:rowOff>
    </xdr:to>
    <xdr:pic>
      <xdr:nvPicPr>
        <xdr:cNvPr id="5159" name="图片 67" descr="47370f3f83a874de3dab64bb57bca9a"/>
        <xdr:cNvPicPr>
          <a:picLocks noChangeAspect="1"/>
        </xdr:cNvPicPr>
      </xdr:nvPicPr>
      <xdr:blipFill>
        <a:blip r:embed="rId27">
          <a:lum/>
        </a:blip>
        <a:srcRect l="7182" r="8075"/>
        <a:stretch>
          <a:fillRect/>
        </a:stretch>
      </xdr:blipFill>
      <xdr:spPr>
        <a:xfrm>
          <a:off x="95250" y="141860905"/>
          <a:ext cx="1543050" cy="1377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123825</xdr:colOff>
      <xdr:row>305</xdr:row>
      <xdr:rowOff>47625</xdr:rowOff>
    </xdr:from>
    <xdr:to>
      <xdr:col>0</xdr:col>
      <xdr:colOff>1619250</xdr:colOff>
      <xdr:row>306</xdr:row>
      <xdr:rowOff>677545</xdr:rowOff>
    </xdr:to>
    <xdr:pic>
      <xdr:nvPicPr>
        <xdr:cNvPr id="5160" name="图片 70"/>
        <xdr:cNvPicPr>
          <a:picLocks noChangeAspect="1"/>
        </xdr:cNvPicPr>
      </xdr:nvPicPr>
      <xdr:blipFill>
        <a:blip r:embed="rId28">
          <a:lum/>
        </a:blip>
        <a:stretch>
          <a:fillRect/>
        </a:stretch>
      </xdr:blipFill>
      <xdr:spPr>
        <a:xfrm>
          <a:off x="123825" y="112038130"/>
          <a:ext cx="1495425" cy="1353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50</xdr:row>
      <xdr:rowOff>76200</xdr:rowOff>
    </xdr:from>
    <xdr:to>
      <xdr:col>0</xdr:col>
      <xdr:colOff>1496060</xdr:colOff>
      <xdr:row>54</xdr:row>
      <xdr:rowOff>118110</xdr:rowOff>
    </xdr:to>
    <xdr:pic>
      <xdr:nvPicPr>
        <xdr:cNvPr id="5161" name="图片 73"/>
        <xdr:cNvPicPr>
          <a:picLocks noChangeAspect="1"/>
        </xdr:cNvPicPr>
      </xdr:nvPicPr>
      <xdr:blipFill>
        <a:blip r:embed="rId29">
          <a:lum/>
        </a:blip>
        <a:stretch>
          <a:fillRect/>
        </a:stretch>
      </xdr:blipFill>
      <xdr:spPr>
        <a:xfrm>
          <a:off x="9525" y="22377400"/>
          <a:ext cx="1486535" cy="1311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57150</xdr:colOff>
      <xdr:row>70</xdr:row>
      <xdr:rowOff>66675</xdr:rowOff>
    </xdr:from>
    <xdr:to>
      <xdr:col>0</xdr:col>
      <xdr:colOff>1419225</xdr:colOff>
      <xdr:row>72</xdr:row>
      <xdr:rowOff>438150</xdr:rowOff>
    </xdr:to>
    <xdr:pic>
      <xdr:nvPicPr>
        <xdr:cNvPr id="5164" name="图片 78"/>
        <xdr:cNvPicPr>
          <a:picLocks noChangeAspect="1"/>
        </xdr:cNvPicPr>
      </xdr:nvPicPr>
      <xdr:blipFill>
        <a:blip r:embed="rId30">
          <a:lum/>
        </a:blip>
        <a:stretch>
          <a:fillRect/>
        </a:stretch>
      </xdr:blipFill>
      <xdr:spPr>
        <a:xfrm>
          <a:off x="57150" y="28578175"/>
          <a:ext cx="1362075" cy="1336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114300</xdr:colOff>
      <xdr:row>161</xdr:row>
      <xdr:rowOff>47625</xdr:rowOff>
    </xdr:from>
    <xdr:to>
      <xdr:col>0</xdr:col>
      <xdr:colOff>1562100</xdr:colOff>
      <xdr:row>165</xdr:row>
      <xdr:rowOff>266700</xdr:rowOff>
    </xdr:to>
    <xdr:pic>
      <xdr:nvPicPr>
        <xdr:cNvPr id="5165" name="图片 79"/>
        <xdr:cNvPicPr>
          <a:picLocks noChangeAspect="1"/>
        </xdr:cNvPicPr>
      </xdr:nvPicPr>
      <xdr:blipFill>
        <a:blip r:embed="rId31">
          <a:lum/>
        </a:blip>
        <a:stretch>
          <a:fillRect/>
        </a:stretch>
      </xdr:blipFill>
      <xdr:spPr>
        <a:xfrm>
          <a:off x="114300" y="58812430"/>
          <a:ext cx="1447800" cy="1438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95250</xdr:colOff>
      <xdr:row>155</xdr:row>
      <xdr:rowOff>180975</xdr:rowOff>
    </xdr:from>
    <xdr:to>
      <xdr:col>0</xdr:col>
      <xdr:colOff>1552575</xdr:colOff>
      <xdr:row>160</xdr:row>
      <xdr:rowOff>123825</xdr:rowOff>
    </xdr:to>
    <xdr:pic>
      <xdr:nvPicPr>
        <xdr:cNvPr id="5166" name="图片 80"/>
        <xdr:cNvPicPr>
          <a:picLocks noChangeAspect="1"/>
        </xdr:cNvPicPr>
      </xdr:nvPicPr>
      <xdr:blipFill>
        <a:blip r:embed="rId32">
          <a:lum/>
        </a:blip>
        <a:stretch>
          <a:fillRect/>
        </a:stretch>
      </xdr:blipFill>
      <xdr:spPr>
        <a:xfrm>
          <a:off x="95250" y="57116980"/>
          <a:ext cx="1457325" cy="1466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95250</xdr:colOff>
      <xdr:row>18</xdr:row>
      <xdr:rowOff>231140</xdr:rowOff>
    </xdr:from>
    <xdr:to>
      <xdr:col>0</xdr:col>
      <xdr:colOff>1623695</xdr:colOff>
      <xdr:row>23</xdr:row>
      <xdr:rowOff>264160</xdr:rowOff>
    </xdr:to>
    <xdr:pic>
      <xdr:nvPicPr>
        <xdr:cNvPr id="5167" name="图片 82"/>
        <xdr:cNvPicPr>
          <a:picLocks noChangeAspect="1"/>
        </xdr:cNvPicPr>
      </xdr:nvPicPr>
      <xdr:blipFill>
        <a:blip r:embed="rId33">
          <a:lum/>
        </a:blip>
        <a:stretch>
          <a:fillRect/>
        </a:stretch>
      </xdr:blipFill>
      <xdr:spPr>
        <a:xfrm>
          <a:off x="95250" y="12042140"/>
          <a:ext cx="1528445" cy="1557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57150</xdr:colOff>
      <xdr:row>59</xdr:row>
      <xdr:rowOff>19050</xdr:rowOff>
    </xdr:from>
    <xdr:to>
      <xdr:col>0</xdr:col>
      <xdr:colOff>1388745</xdr:colOff>
      <xdr:row>63</xdr:row>
      <xdr:rowOff>109855</xdr:rowOff>
    </xdr:to>
    <xdr:pic>
      <xdr:nvPicPr>
        <xdr:cNvPr id="5168" name="图片 83"/>
        <xdr:cNvPicPr>
          <a:picLocks noChangeAspect="1"/>
        </xdr:cNvPicPr>
      </xdr:nvPicPr>
      <xdr:blipFill>
        <a:blip r:embed="rId34">
          <a:lum/>
        </a:blip>
        <a:stretch>
          <a:fillRect/>
        </a:stretch>
      </xdr:blipFill>
      <xdr:spPr>
        <a:xfrm>
          <a:off x="57150" y="25177750"/>
          <a:ext cx="1331595" cy="1310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209550</xdr:colOff>
      <xdr:row>342</xdr:row>
      <xdr:rowOff>19050</xdr:rowOff>
    </xdr:from>
    <xdr:to>
      <xdr:col>0</xdr:col>
      <xdr:colOff>1485900</xdr:colOff>
      <xdr:row>343</xdr:row>
      <xdr:rowOff>590550</xdr:rowOff>
    </xdr:to>
    <xdr:pic>
      <xdr:nvPicPr>
        <xdr:cNvPr id="5169" name="图片 84"/>
        <xdr:cNvPicPr>
          <a:picLocks noChangeAspect="1"/>
        </xdr:cNvPicPr>
      </xdr:nvPicPr>
      <xdr:blipFill>
        <a:blip r:embed="rId35">
          <a:lum/>
        </a:blip>
        <a:stretch>
          <a:fillRect/>
        </a:stretch>
      </xdr:blipFill>
      <xdr:spPr>
        <a:xfrm>
          <a:off x="209550" y="134894955"/>
          <a:ext cx="1276350" cy="1257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170180</xdr:colOff>
      <xdr:row>0</xdr:row>
      <xdr:rowOff>58420</xdr:rowOff>
    </xdr:from>
    <xdr:to>
      <xdr:col>5</xdr:col>
      <xdr:colOff>217805</xdr:colOff>
      <xdr:row>0</xdr:row>
      <xdr:rowOff>1039495</xdr:rowOff>
    </xdr:to>
    <xdr:pic>
      <xdr:nvPicPr>
        <xdr:cNvPr id="5170" name="图片 16"/>
        <xdr:cNvPicPr>
          <a:picLocks noChangeAspect="1"/>
        </xdr:cNvPicPr>
      </xdr:nvPicPr>
      <xdr:blipFill>
        <a:blip r:embed="rId36">
          <a:lum/>
        </a:blip>
        <a:stretch>
          <a:fillRect/>
        </a:stretch>
      </xdr:blipFill>
      <xdr:spPr>
        <a:xfrm>
          <a:off x="5958840" y="58420"/>
          <a:ext cx="1047750" cy="981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47625</xdr:colOff>
      <xdr:row>346</xdr:row>
      <xdr:rowOff>66675</xdr:rowOff>
    </xdr:from>
    <xdr:to>
      <xdr:col>0</xdr:col>
      <xdr:colOff>1574165</xdr:colOff>
      <xdr:row>348</xdr:row>
      <xdr:rowOff>342265</xdr:rowOff>
    </xdr:to>
    <xdr:pic>
      <xdr:nvPicPr>
        <xdr:cNvPr id="5171" name="图片 22"/>
        <xdr:cNvPicPr>
          <a:picLocks noChangeAspect="1"/>
        </xdr:cNvPicPr>
      </xdr:nvPicPr>
      <xdr:blipFill>
        <a:blip r:embed="rId37">
          <a:lum/>
        </a:blip>
        <a:stretch>
          <a:fillRect/>
        </a:stretch>
      </xdr:blipFill>
      <xdr:spPr>
        <a:xfrm>
          <a:off x="47625" y="137685780"/>
          <a:ext cx="1526540" cy="1215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123825</xdr:colOff>
      <xdr:row>36</xdr:row>
      <xdr:rowOff>38100</xdr:rowOff>
    </xdr:from>
    <xdr:to>
      <xdr:col>0</xdr:col>
      <xdr:colOff>1428750</xdr:colOff>
      <xdr:row>40</xdr:row>
      <xdr:rowOff>127000</xdr:rowOff>
    </xdr:to>
    <xdr:pic>
      <xdr:nvPicPr>
        <xdr:cNvPr id="5172" name="图片 65"/>
        <xdr:cNvPicPr>
          <a:picLocks noChangeAspect="1"/>
        </xdr:cNvPicPr>
      </xdr:nvPicPr>
      <xdr:blipFill>
        <a:blip r:embed="rId38">
          <a:lum/>
        </a:blip>
        <a:stretch>
          <a:fillRect/>
        </a:stretch>
      </xdr:blipFill>
      <xdr:spPr>
        <a:xfrm>
          <a:off x="123825" y="18072100"/>
          <a:ext cx="1304925" cy="1308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123825</xdr:colOff>
      <xdr:row>29</xdr:row>
      <xdr:rowOff>38100</xdr:rowOff>
    </xdr:from>
    <xdr:to>
      <xdr:col>0</xdr:col>
      <xdr:colOff>1466850</xdr:colOff>
      <xdr:row>32</xdr:row>
      <xdr:rowOff>190500</xdr:rowOff>
    </xdr:to>
    <xdr:pic>
      <xdr:nvPicPr>
        <xdr:cNvPr id="5174" name="图片 54"/>
        <xdr:cNvPicPr>
          <a:picLocks noChangeAspect="1"/>
        </xdr:cNvPicPr>
      </xdr:nvPicPr>
      <xdr:blipFill>
        <a:blip r:embed="rId39">
          <a:lum/>
        </a:blip>
        <a:stretch>
          <a:fillRect/>
        </a:stretch>
      </xdr:blipFill>
      <xdr:spPr>
        <a:xfrm>
          <a:off x="123825" y="15354300"/>
          <a:ext cx="134302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161925</xdr:colOff>
      <xdr:row>344</xdr:row>
      <xdr:rowOff>47625</xdr:rowOff>
    </xdr:from>
    <xdr:to>
      <xdr:col>0</xdr:col>
      <xdr:colOff>1515745</xdr:colOff>
      <xdr:row>345</xdr:row>
      <xdr:rowOff>656590</xdr:rowOff>
    </xdr:to>
    <xdr:pic>
      <xdr:nvPicPr>
        <xdr:cNvPr id="5176" name="图片 56"/>
        <xdr:cNvPicPr>
          <a:picLocks noChangeAspect="1"/>
        </xdr:cNvPicPr>
      </xdr:nvPicPr>
      <xdr:blipFill>
        <a:blip r:embed="rId40">
          <a:lum/>
        </a:blip>
        <a:stretch>
          <a:fillRect/>
        </a:stretch>
      </xdr:blipFill>
      <xdr:spPr>
        <a:xfrm>
          <a:off x="161925" y="136295130"/>
          <a:ext cx="1353820" cy="1294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38100</xdr:colOff>
      <xdr:row>237</xdr:row>
      <xdr:rowOff>95250</xdr:rowOff>
    </xdr:from>
    <xdr:to>
      <xdr:col>0</xdr:col>
      <xdr:colOff>1562100</xdr:colOff>
      <xdr:row>242</xdr:row>
      <xdr:rowOff>12700</xdr:rowOff>
    </xdr:to>
    <xdr:pic>
      <xdr:nvPicPr>
        <xdr:cNvPr id="5177" name="图片 57"/>
        <xdr:cNvPicPr>
          <a:picLocks noChangeAspect="1"/>
        </xdr:cNvPicPr>
      </xdr:nvPicPr>
      <xdr:blipFill>
        <a:blip r:embed="rId41">
          <a:lum/>
        </a:blip>
        <a:stretch>
          <a:fillRect/>
        </a:stretch>
      </xdr:blipFill>
      <xdr:spPr>
        <a:xfrm>
          <a:off x="38100" y="86088855"/>
          <a:ext cx="1524000" cy="147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76200</xdr:colOff>
      <xdr:row>257</xdr:row>
      <xdr:rowOff>66675</xdr:rowOff>
    </xdr:from>
    <xdr:to>
      <xdr:col>0</xdr:col>
      <xdr:colOff>1546225</xdr:colOff>
      <xdr:row>262</xdr:row>
      <xdr:rowOff>78105</xdr:rowOff>
    </xdr:to>
    <xdr:pic>
      <xdr:nvPicPr>
        <xdr:cNvPr id="5178" name="图片 58"/>
        <xdr:cNvPicPr>
          <a:picLocks noChangeAspect="1"/>
        </xdr:cNvPicPr>
      </xdr:nvPicPr>
      <xdr:blipFill>
        <a:blip r:embed="rId42">
          <a:lum/>
        </a:blip>
        <a:stretch>
          <a:fillRect/>
        </a:stretch>
      </xdr:blipFill>
      <xdr:spPr>
        <a:xfrm>
          <a:off x="76200" y="92562680"/>
          <a:ext cx="1470025" cy="1471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104775</xdr:colOff>
      <xdr:row>143</xdr:row>
      <xdr:rowOff>85725</xdr:rowOff>
    </xdr:from>
    <xdr:to>
      <xdr:col>0</xdr:col>
      <xdr:colOff>1638300</xdr:colOff>
      <xdr:row>149</xdr:row>
      <xdr:rowOff>171450</xdr:rowOff>
    </xdr:to>
    <xdr:pic>
      <xdr:nvPicPr>
        <xdr:cNvPr id="5179" name="图片 59"/>
        <xdr:cNvPicPr>
          <a:picLocks noChangeAspect="1"/>
        </xdr:cNvPicPr>
      </xdr:nvPicPr>
      <xdr:blipFill>
        <a:blip r:embed="rId43">
          <a:lum/>
        </a:blip>
        <a:stretch>
          <a:fillRect/>
        </a:stretch>
      </xdr:blipFill>
      <xdr:spPr>
        <a:xfrm>
          <a:off x="104775" y="54126130"/>
          <a:ext cx="1533525" cy="1533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133350</xdr:colOff>
      <xdr:row>323</xdr:row>
      <xdr:rowOff>66675</xdr:rowOff>
    </xdr:from>
    <xdr:to>
      <xdr:col>0</xdr:col>
      <xdr:colOff>1552575</xdr:colOff>
      <xdr:row>325</xdr:row>
      <xdr:rowOff>457200</xdr:rowOff>
    </xdr:to>
    <xdr:pic>
      <xdr:nvPicPr>
        <xdr:cNvPr id="5180" name="图片 60"/>
        <xdr:cNvPicPr>
          <a:picLocks noChangeAspect="1"/>
        </xdr:cNvPicPr>
      </xdr:nvPicPr>
      <xdr:blipFill>
        <a:blip r:embed="rId44">
          <a:lum/>
        </a:blip>
        <a:stretch>
          <a:fillRect/>
        </a:stretch>
      </xdr:blipFill>
      <xdr:spPr>
        <a:xfrm>
          <a:off x="133350" y="125315980"/>
          <a:ext cx="1419225" cy="1381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152400</xdr:colOff>
      <xdr:row>328</xdr:row>
      <xdr:rowOff>523875</xdr:rowOff>
    </xdr:from>
    <xdr:to>
      <xdr:col>0</xdr:col>
      <xdr:colOff>1580515</xdr:colOff>
      <xdr:row>331</xdr:row>
      <xdr:rowOff>437515</xdr:rowOff>
    </xdr:to>
    <xdr:pic>
      <xdr:nvPicPr>
        <xdr:cNvPr id="5181" name="图片 61"/>
        <xdr:cNvPicPr>
          <a:picLocks noChangeAspect="1"/>
        </xdr:cNvPicPr>
      </xdr:nvPicPr>
      <xdr:blipFill>
        <a:blip r:embed="rId42">
          <a:lum/>
        </a:blip>
        <a:stretch>
          <a:fillRect/>
        </a:stretch>
      </xdr:blipFill>
      <xdr:spPr>
        <a:xfrm>
          <a:off x="152400" y="128221105"/>
          <a:ext cx="1428115" cy="1428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114300</xdr:colOff>
      <xdr:row>337</xdr:row>
      <xdr:rowOff>66675</xdr:rowOff>
    </xdr:from>
    <xdr:to>
      <xdr:col>0</xdr:col>
      <xdr:colOff>1533525</xdr:colOff>
      <xdr:row>341</xdr:row>
      <xdr:rowOff>19050</xdr:rowOff>
    </xdr:to>
    <xdr:pic>
      <xdr:nvPicPr>
        <xdr:cNvPr id="5182" name="图片 62"/>
        <xdr:cNvPicPr>
          <a:picLocks noChangeAspect="1"/>
        </xdr:cNvPicPr>
      </xdr:nvPicPr>
      <xdr:blipFill>
        <a:blip r:embed="rId45">
          <a:lum/>
        </a:blip>
        <a:stretch>
          <a:fillRect/>
        </a:stretch>
      </xdr:blipFill>
      <xdr:spPr>
        <a:xfrm>
          <a:off x="114300" y="133101080"/>
          <a:ext cx="1419225" cy="1425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76200</xdr:colOff>
      <xdr:row>199</xdr:row>
      <xdr:rowOff>47625</xdr:rowOff>
    </xdr:from>
    <xdr:to>
      <xdr:col>0</xdr:col>
      <xdr:colOff>1562100</xdr:colOff>
      <xdr:row>204</xdr:row>
      <xdr:rowOff>57150</xdr:rowOff>
    </xdr:to>
    <xdr:pic>
      <xdr:nvPicPr>
        <xdr:cNvPr id="5185" name="图片 65"/>
        <xdr:cNvPicPr>
          <a:picLocks noChangeAspect="1"/>
        </xdr:cNvPicPr>
      </xdr:nvPicPr>
      <xdr:blipFill>
        <a:blip r:embed="rId46">
          <a:lum/>
        </a:blip>
        <a:stretch>
          <a:fillRect/>
        </a:stretch>
      </xdr:blipFill>
      <xdr:spPr>
        <a:xfrm>
          <a:off x="76200" y="70318630"/>
          <a:ext cx="1485900" cy="1470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209550</xdr:colOff>
      <xdr:row>301</xdr:row>
      <xdr:rowOff>19050</xdr:rowOff>
    </xdr:from>
    <xdr:to>
      <xdr:col>0</xdr:col>
      <xdr:colOff>1571625</xdr:colOff>
      <xdr:row>304</xdr:row>
      <xdr:rowOff>304800</xdr:rowOff>
    </xdr:to>
    <xdr:pic>
      <xdr:nvPicPr>
        <xdr:cNvPr id="5187" name="图片 67"/>
        <xdr:cNvPicPr>
          <a:picLocks noChangeAspect="1"/>
        </xdr:cNvPicPr>
      </xdr:nvPicPr>
      <xdr:blipFill>
        <a:blip r:embed="rId47">
          <a:lum/>
        </a:blip>
        <a:stretch>
          <a:fillRect/>
        </a:stretch>
      </xdr:blipFill>
      <xdr:spPr>
        <a:xfrm>
          <a:off x="209550" y="110587155"/>
          <a:ext cx="1362075" cy="1352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47625</xdr:colOff>
      <xdr:row>253</xdr:row>
      <xdr:rowOff>57150</xdr:rowOff>
    </xdr:from>
    <xdr:to>
      <xdr:col>0</xdr:col>
      <xdr:colOff>1590040</xdr:colOff>
      <xdr:row>256</xdr:row>
      <xdr:rowOff>203200</xdr:rowOff>
    </xdr:to>
    <xdr:pic>
      <xdr:nvPicPr>
        <xdr:cNvPr id="5188" name="图片 64" descr="b94e6388e5e10343c762d37887f9120"/>
        <xdr:cNvPicPr>
          <a:picLocks noChangeAspect="1"/>
        </xdr:cNvPicPr>
      </xdr:nvPicPr>
      <xdr:blipFill>
        <a:blip r:embed="rId48">
          <a:lum/>
        </a:blip>
        <a:srcRect l="8279" r="8934"/>
        <a:stretch>
          <a:fillRect/>
        </a:stretch>
      </xdr:blipFill>
      <xdr:spPr>
        <a:xfrm>
          <a:off x="47625" y="90876755"/>
          <a:ext cx="1542415" cy="1403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200025</xdr:colOff>
      <xdr:row>7</xdr:row>
      <xdr:rowOff>104775</xdr:rowOff>
    </xdr:from>
    <xdr:to>
      <xdr:col>0</xdr:col>
      <xdr:colOff>1638300</xdr:colOff>
      <xdr:row>8</xdr:row>
      <xdr:rowOff>685800</xdr:rowOff>
    </xdr:to>
    <xdr:pic>
      <xdr:nvPicPr>
        <xdr:cNvPr id="5189" name="图片 60" descr="7fd02e1493d4be1426084cadf14634a"/>
        <xdr:cNvPicPr>
          <a:picLocks noChangeAspect="1"/>
        </xdr:cNvPicPr>
      </xdr:nvPicPr>
      <xdr:blipFill>
        <a:blip r:embed="rId49">
          <a:lum/>
        </a:blip>
        <a:srcRect l="9409" r="8537"/>
        <a:stretch>
          <a:fillRect/>
        </a:stretch>
      </xdr:blipFill>
      <xdr:spPr>
        <a:xfrm>
          <a:off x="200025" y="6061075"/>
          <a:ext cx="1438275" cy="1330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152400</xdr:colOff>
      <xdr:row>282</xdr:row>
      <xdr:rowOff>38100</xdr:rowOff>
    </xdr:from>
    <xdr:to>
      <xdr:col>0</xdr:col>
      <xdr:colOff>1571625</xdr:colOff>
      <xdr:row>285</xdr:row>
      <xdr:rowOff>352425</xdr:rowOff>
    </xdr:to>
    <xdr:pic>
      <xdr:nvPicPr>
        <xdr:cNvPr id="5190" name="图片 70"/>
        <xdr:cNvPicPr>
          <a:picLocks noChangeAspect="1"/>
        </xdr:cNvPicPr>
      </xdr:nvPicPr>
      <xdr:blipFill>
        <a:blip r:embed="rId50">
          <a:lum/>
        </a:blip>
        <a:stretch>
          <a:fillRect/>
        </a:stretch>
      </xdr:blipFill>
      <xdr:spPr>
        <a:xfrm>
          <a:off x="152400" y="100954205"/>
          <a:ext cx="1419225" cy="1457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95250</xdr:colOff>
      <xdr:row>45</xdr:row>
      <xdr:rowOff>142875</xdr:rowOff>
    </xdr:from>
    <xdr:to>
      <xdr:col>0</xdr:col>
      <xdr:colOff>1440815</xdr:colOff>
      <xdr:row>49</xdr:row>
      <xdr:rowOff>243840</xdr:rowOff>
    </xdr:to>
    <xdr:pic>
      <xdr:nvPicPr>
        <xdr:cNvPr id="5191" name="图片 71"/>
        <xdr:cNvPicPr>
          <a:picLocks noChangeAspect="1"/>
        </xdr:cNvPicPr>
      </xdr:nvPicPr>
      <xdr:blipFill>
        <a:blip r:embed="rId51">
          <a:lum/>
        </a:blip>
        <a:stretch>
          <a:fillRect/>
        </a:stretch>
      </xdr:blipFill>
      <xdr:spPr>
        <a:xfrm>
          <a:off x="95250" y="20920075"/>
          <a:ext cx="1345565" cy="13201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123825</xdr:colOff>
      <xdr:row>41</xdr:row>
      <xdr:rowOff>38100</xdr:rowOff>
    </xdr:from>
    <xdr:to>
      <xdr:col>0</xdr:col>
      <xdr:colOff>1441450</xdr:colOff>
      <xdr:row>45</xdr:row>
      <xdr:rowOff>102870</xdr:rowOff>
    </xdr:to>
    <xdr:pic>
      <xdr:nvPicPr>
        <xdr:cNvPr id="5192" name="图片 72"/>
        <xdr:cNvPicPr>
          <a:picLocks noChangeAspect="1"/>
        </xdr:cNvPicPr>
      </xdr:nvPicPr>
      <xdr:blipFill>
        <a:blip r:embed="rId52">
          <a:lum/>
        </a:blip>
        <a:stretch>
          <a:fillRect/>
        </a:stretch>
      </xdr:blipFill>
      <xdr:spPr>
        <a:xfrm>
          <a:off x="123825" y="19596100"/>
          <a:ext cx="1317625" cy="1283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19050</xdr:colOff>
      <xdr:row>63</xdr:row>
      <xdr:rowOff>171450</xdr:rowOff>
    </xdr:from>
    <xdr:to>
      <xdr:col>0</xdr:col>
      <xdr:colOff>1419225</xdr:colOff>
      <xdr:row>67</xdr:row>
      <xdr:rowOff>285750</xdr:rowOff>
    </xdr:to>
    <xdr:pic>
      <xdr:nvPicPr>
        <xdr:cNvPr id="5193" name="图片 73"/>
        <xdr:cNvPicPr>
          <a:picLocks noChangeAspect="1"/>
        </xdr:cNvPicPr>
      </xdr:nvPicPr>
      <xdr:blipFill>
        <a:blip r:embed="rId53">
          <a:lum/>
        </a:blip>
        <a:stretch>
          <a:fillRect/>
        </a:stretch>
      </xdr:blipFill>
      <xdr:spPr>
        <a:xfrm>
          <a:off x="19050" y="26549350"/>
          <a:ext cx="1400175" cy="1333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95250</xdr:colOff>
      <xdr:row>118</xdr:row>
      <xdr:rowOff>133350</xdr:rowOff>
    </xdr:from>
    <xdr:to>
      <xdr:col>0</xdr:col>
      <xdr:colOff>1447800</xdr:colOff>
      <xdr:row>123</xdr:row>
      <xdr:rowOff>25400</xdr:rowOff>
    </xdr:to>
    <xdr:pic>
      <xdr:nvPicPr>
        <xdr:cNvPr id="5194" name="图片 74"/>
        <xdr:cNvPicPr>
          <a:picLocks noChangeAspect="1"/>
        </xdr:cNvPicPr>
      </xdr:nvPicPr>
      <xdr:blipFill>
        <a:blip r:embed="rId54">
          <a:lum/>
        </a:blip>
        <a:stretch>
          <a:fillRect/>
        </a:stretch>
      </xdr:blipFill>
      <xdr:spPr>
        <a:xfrm>
          <a:off x="95250" y="47390050"/>
          <a:ext cx="1352550" cy="1289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133350</xdr:colOff>
      <xdr:row>124</xdr:row>
      <xdr:rowOff>47625</xdr:rowOff>
    </xdr:from>
    <xdr:to>
      <xdr:col>0</xdr:col>
      <xdr:colOff>1619250</xdr:colOff>
      <xdr:row>129</xdr:row>
      <xdr:rowOff>85725</xdr:rowOff>
    </xdr:to>
    <xdr:pic>
      <xdr:nvPicPr>
        <xdr:cNvPr id="5195" name="图片 75"/>
        <xdr:cNvPicPr>
          <a:picLocks noChangeAspect="1"/>
        </xdr:cNvPicPr>
      </xdr:nvPicPr>
      <xdr:blipFill>
        <a:blip r:embed="rId55">
          <a:lum/>
        </a:blip>
        <a:stretch>
          <a:fillRect/>
        </a:stretch>
      </xdr:blipFill>
      <xdr:spPr>
        <a:xfrm>
          <a:off x="133350" y="48980725"/>
          <a:ext cx="1485900" cy="1435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47625</xdr:colOff>
      <xdr:row>175</xdr:row>
      <xdr:rowOff>57150</xdr:rowOff>
    </xdr:from>
    <xdr:to>
      <xdr:col>0</xdr:col>
      <xdr:colOff>1616075</xdr:colOff>
      <xdr:row>180</xdr:row>
      <xdr:rowOff>209550</xdr:rowOff>
    </xdr:to>
    <xdr:pic>
      <xdr:nvPicPr>
        <xdr:cNvPr id="5196" name="图片 76"/>
        <xdr:cNvPicPr>
          <a:picLocks noChangeAspect="1"/>
        </xdr:cNvPicPr>
      </xdr:nvPicPr>
      <xdr:blipFill>
        <a:blip r:embed="rId56">
          <a:lum/>
        </a:blip>
        <a:stretch>
          <a:fillRect/>
        </a:stretch>
      </xdr:blipFill>
      <xdr:spPr>
        <a:xfrm>
          <a:off x="47625" y="63317755"/>
          <a:ext cx="1568450" cy="1485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38100</xdr:colOff>
      <xdr:row>182</xdr:row>
      <xdr:rowOff>109220</xdr:rowOff>
    </xdr:from>
    <xdr:to>
      <xdr:col>0</xdr:col>
      <xdr:colOff>1625600</xdr:colOff>
      <xdr:row>187</xdr:row>
      <xdr:rowOff>179070</xdr:rowOff>
    </xdr:to>
    <xdr:pic>
      <xdr:nvPicPr>
        <xdr:cNvPr id="5197" name="图片 77"/>
        <xdr:cNvPicPr>
          <a:picLocks noChangeAspect="1"/>
        </xdr:cNvPicPr>
      </xdr:nvPicPr>
      <xdr:blipFill>
        <a:blip r:embed="rId57">
          <a:lum/>
        </a:blip>
        <a:stretch>
          <a:fillRect/>
        </a:stretch>
      </xdr:blipFill>
      <xdr:spPr>
        <a:xfrm>
          <a:off x="38100" y="65312925"/>
          <a:ext cx="1587500" cy="1530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47625</xdr:colOff>
      <xdr:row>244</xdr:row>
      <xdr:rowOff>161925</xdr:rowOff>
    </xdr:from>
    <xdr:to>
      <xdr:col>0</xdr:col>
      <xdr:colOff>1571625</xdr:colOff>
      <xdr:row>249</xdr:row>
      <xdr:rowOff>238125</xdr:rowOff>
    </xdr:to>
    <xdr:pic>
      <xdr:nvPicPr>
        <xdr:cNvPr id="5200" name="图片 80"/>
        <xdr:cNvPicPr>
          <a:picLocks noChangeAspect="1"/>
        </xdr:cNvPicPr>
      </xdr:nvPicPr>
      <xdr:blipFill>
        <a:blip r:embed="rId58">
          <a:lum/>
        </a:blip>
        <a:stretch>
          <a:fillRect/>
        </a:stretch>
      </xdr:blipFill>
      <xdr:spPr>
        <a:xfrm>
          <a:off x="47625" y="88352630"/>
          <a:ext cx="1524000" cy="1536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95250</xdr:colOff>
      <xdr:row>275</xdr:row>
      <xdr:rowOff>180975</xdr:rowOff>
    </xdr:from>
    <xdr:to>
      <xdr:col>0</xdr:col>
      <xdr:colOff>1542415</xdr:colOff>
      <xdr:row>281</xdr:row>
      <xdr:rowOff>15875</xdr:rowOff>
    </xdr:to>
    <xdr:pic>
      <xdr:nvPicPr>
        <xdr:cNvPr id="5201" name="图片 81"/>
        <xdr:cNvPicPr>
          <a:picLocks noChangeAspect="1"/>
        </xdr:cNvPicPr>
      </xdr:nvPicPr>
      <xdr:blipFill>
        <a:blip r:embed="rId59">
          <a:lum/>
        </a:blip>
        <a:stretch>
          <a:fillRect/>
        </a:stretch>
      </xdr:blipFill>
      <xdr:spPr>
        <a:xfrm>
          <a:off x="95250" y="99230180"/>
          <a:ext cx="1447165" cy="1435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66675</xdr:colOff>
      <xdr:row>286</xdr:row>
      <xdr:rowOff>152400</xdr:rowOff>
    </xdr:from>
    <xdr:to>
      <xdr:col>0</xdr:col>
      <xdr:colOff>1581150</xdr:colOff>
      <xdr:row>289</xdr:row>
      <xdr:rowOff>371475</xdr:rowOff>
    </xdr:to>
    <xdr:pic>
      <xdr:nvPicPr>
        <xdr:cNvPr id="5202" name="图片 82"/>
        <xdr:cNvPicPr>
          <a:picLocks noChangeAspect="1"/>
        </xdr:cNvPicPr>
      </xdr:nvPicPr>
      <xdr:blipFill>
        <a:blip r:embed="rId60">
          <a:lum/>
        </a:blip>
        <a:stretch>
          <a:fillRect/>
        </a:stretch>
      </xdr:blipFill>
      <xdr:spPr>
        <a:xfrm>
          <a:off x="66675" y="102592505"/>
          <a:ext cx="1514475" cy="1476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142875</xdr:colOff>
      <xdr:row>297</xdr:row>
      <xdr:rowOff>114300</xdr:rowOff>
    </xdr:from>
    <xdr:to>
      <xdr:col>0</xdr:col>
      <xdr:colOff>1657350</xdr:colOff>
      <xdr:row>300</xdr:row>
      <xdr:rowOff>257175</xdr:rowOff>
    </xdr:to>
    <xdr:pic>
      <xdr:nvPicPr>
        <xdr:cNvPr id="5204" name="图片 84"/>
        <xdr:cNvPicPr>
          <a:picLocks noChangeAspect="1"/>
        </xdr:cNvPicPr>
      </xdr:nvPicPr>
      <xdr:blipFill>
        <a:blip r:embed="rId61">
          <a:lum/>
        </a:blip>
        <a:stretch>
          <a:fillRect/>
        </a:stretch>
      </xdr:blipFill>
      <xdr:spPr>
        <a:xfrm>
          <a:off x="142875" y="108904405"/>
          <a:ext cx="1514475" cy="1476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76200</xdr:colOff>
      <xdr:row>320</xdr:row>
      <xdr:rowOff>38100</xdr:rowOff>
    </xdr:from>
    <xdr:to>
      <xdr:col>0</xdr:col>
      <xdr:colOff>1504950</xdr:colOff>
      <xdr:row>322</xdr:row>
      <xdr:rowOff>434975</xdr:rowOff>
    </xdr:to>
    <xdr:pic>
      <xdr:nvPicPr>
        <xdr:cNvPr id="5205" name="图片 85"/>
        <xdr:cNvPicPr>
          <a:picLocks noChangeAspect="1"/>
        </xdr:cNvPicPr>
      </xdr:nvPicPr>
      <xdr:blipFill>
        <a:blip r:embed="rId62">
          <a:lum/>
        </a:blip>
        <a:stretch>
          <a:fillRect/>
        </a:stretch>
      </xdr:blipFill>
      <xdr:spPr>
        <a:xfrm>
          <a:off x="76200" y="123763405"/>
          <a:ext cx="1428750" cy="1412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125730</xdr:colOff>
      <xdr:row>231</xdr:row>
      <xdr:rowOff>67310</xdr:rowOff>
    </xdr:from>
    <xdr:to>
      <xdr:col>0</xdr:col>
      <xdr:colOff>1522095</xdr:colOff>
      <xdr:row>235</xdr:row>
      <xdr:rowOff>194310</xdr:rowOff>
    </xdr:to>
    <xdr:pic>
      <xdr:nvPicPr>
        <xdr:cNvPr id="5157" name="图片 37"/>
        <xdr:cNvPicPr>
          <a:picLocks noChangeAspect="1"/>
        </xdr:cNvPicPr>
      </xdr:nvPicPr>
      <xdr:blipFill>
        <a:blip r:embed="rId63">
          <a:lum/>
        </a:blip>
        <a:stretch>
          <a:fillRect/>
        </a:stretch>
      </xdr:blipFill>
      <xdr:spPr>
        <a:xfrm>
          <a:off x="125730" y="83203415"/>
          <a:ext cx="139636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104775</xdr:colOff>
      <xdr:row>93</xdr:row>
      <xdr:rowOff>57150</xdr:rowOff>
    </xdr:from>
    <xdr:to>
      <xdr:col>0</xdr:col>
      <xdr:colOff>1590675</xdr:colOff>
      <xdr:row>96</xdr:row>
      <xdr:rowOff>342900</xdr:rowOff>
    </xdr:to>
    <xdr:pic>
      <xdr:nvPicPr>
        <xdr:cNvPr id="5186" name="图片 66"/>
        <xdr:cNvPicPr>
          <a:picLocks noChangeAspect="1"/>
        </xdr:cNvPicPr>
      </xdr:nvPicPr>
      <xdr:blipFill>
        <a:blip r:embed="rId64">
          <a:lum/>
        </a:blip>
        <a:stretch>
          <a:fillRect/>
        </a:stretch>
      </xdr:blipFill>
      <xdr:spPr>
        <a:xfrm>
          <a:off x="104775" y="38931850"/>
          <a:ext cx="1485900" cy="1428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104775</xdr:colOff>
      <xdr:row>103</xdr:row>
      <xdr:rowOff>66675</xdr:rowOff>
    </xdr:from>
    <xdr:to>
      <xdr:col>0</xdr:col>
      <xdr:colOff>1590675</xdr:colOff>
      <xdr:row>106</xdr:row>
      <xdr:rowOff>323850</xdr:rowOff>
    </xdr:to>
    <xdr:pic>
      <xdr:nvPicPr>
        <xdr:cNvPr id="5207" name="图片 87"/>
        <xdr:cNvPicPr>
          <a:picLocks noChangeAspect="1"/>
        </xdr:cNvPicPr>
      </xdr:nvPicPr>
      <xdr:blipFill>
        <a:blip r:embed="rId65">
          <a:lum/>
        </a:blip>
        <a:stretch>
          <a:fillRect/>
        </a:stretch>
      </xdr:blipFill>
      <xdr:spPr>
        <a:xfrm>
          <a:off x="104775" y="42751375"/>
          <a:ext cx="1485900" cy="1438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67310</xdr:colOff>
      <xdr:row>334</xdr:row>
      <xdr:rowOff>76200</xdr:rowOff>
    </xdr:from>
    <xdr:to>
      <xdr:col>0</xdr:col>
      <xdr:colOff>1562100</xdr:colOff>
      <xdr:row>336</xdr:row>
      <xdr:rowOff>310515</xdr:rowOff>
    </xdr:to>
    <xdr:pic>
      <xdr:nvPicPr>
        <xdr:cNvPr id="5210" name="图片 90"/>
        <xdr:cNvPicPr>
          <a:picLocks noChangeAspect="1"/>
        </xdr:cNvPicPr>
      </xdr:nvPicPr>
      <xdr:blipFill>
        <a:blip r:embed="rId66">
          <a:lum/>
        </a:blip>
        <a:stretch>
          <a:fillRect/>
        </a:stretch>
      </xdr:blipFill>
      <xdr:spPr>
        <a:xfrm>
          <a:off x="67310" y="131434205"/>
          <a:ext cx="1494790" cy="1351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85725</xdr:colOff>
      <xdr:row>4</xdr:row>
      <xdr:rowOff>76200</xdr:rowOff>
    </xdr:from>
    <xdr:to>
      <xdr:col>0</xdr:col>
      <xdr:colOff>1619250</xdr:colOff>
      <xdr:row>5</xdr:row>
      <xdr:rowOff>698500</xdr:rowOff>
    </xdr:to>
    <xdr:pic>
      <xdr:nvPicPr>
        <xdr:cNvPr id="5211" name="图片 91"/>
        <xdr:cNvPicPr>
          <a:picLocks noChangeAspect="1"/>
        </xdr:cNvPicPr>
      </xdr:nvPicPr>
      <xdr:blipFill>
        <a:blip r:embed="rId67">
          <a:lum/>
        </a:blip>
        <a:stretch>
          <a:fillRect/>
        </a:stretch>
      </xdr:blipFill>
      <xdr:spPr>
        <a:xfrm>
          <a:off x="85725" y="3035300"/>
          <a:ext cx="1533525" cy="1397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97155</xdr:colOff>
      <xdr:row>2</xdr:row>
      <xdr:rowOff>92075</xdr:rowOff>
    </xdr:from>
    <xdr:to>
      <xdr:col>0</xdr:col>
      <xdr:colOff>1617980</xdr:colOff>
      <xdr:row>3</xdr:row>
      <xdr:rowOff>657225</xdr:rowOff>
    </xdr:to>
    <xdr:pic>
      <xdr:nvPicPr>
        <xdr:cNvPr id="2" name="图片 1"/>
        <xdr:cNvPicPr>
          <a:picLocks noChangeAspect="1"/>
        </xdr:cNvPicPr>
      </xdr:nvPicPr>
      <xdr:blipFill>
        <a:blip r:embed="rId68"/>
        <a:stretch>
          <a:fillRect/>
        </a:stretch>
      </xdr:blipFill>
      <xdr:spPr>
        <a:xfrm>
          <a:off x="97155" y="1501775"/>
          <a:ext cx="1520825" cy="1339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104775</xdr:colOff>
      <xdr:row>312</xdr:row>
      <xdr:rowOff>38100</xdr:rowOff>
    </xdr:from>
    <xdr:to>
      <xdr:col>0</xdr:col>
      <xdr:colOff>1591945</xdr:colOff>
      <xdr:row>312</xdr:row>
      <xdr:rowOff>1414145</xdr:rowOff>
    </xdr:to>
    <xdr:pic>
      <xdr:nvPicPr>
        <xdr:cNvPr id="5" name="图片 4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104775" y="118010305"/>
          <a:ext cx="1487170" cy="1376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66675</xdr:colOff>
      <xdr:row>332</xdr:row>
      <xdr:rowOff>85725</xdr:rowOff>
    </xdr:from>
    <xdr:to>
      <xdr:col>0</xdr:col>
      <xdr:colOff>1632585</xdr:colOff>
      <xdr:row>333</xdr:row>
      <xdr:rowOff>683260</xdr:rowOff>
    </xdr:to>
    <xdr:pic>
      <xdr:nvPicPr>
        <xdr:cNvPr id="6" name="图片 5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66675" y="129792730"/>
          <a:ext cx="1565910" cy="1461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209550</xdr:colOff>
      <xdr:row>11</xdr:row>
      <xdr:rowOff>82550</xdr:rowOff>
    </xdr:from>
    <xdr:to>
      <xdr:col>0</xdr:col>
      <xdr:colOff>1643380</xdr:colOff>
      <xdr:row>14</xdr:row>
      <xdr:rowOff>227965</xdr:rowOff>
    </xdr:to>
    <xdr:pic>
      <xdr:nvPicPr>
        <xdr:cNvPr id="7" name="图片 6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209550" y="8959850"/>
          <a:ext cx="1433830" cy="1402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114300</xdr:colOff>
      <xdr:row>355</xdr:row>
      <xdr:rowOff>53975</xdr:rowOff>
    </xdr:from>
    <xdr:to>
      <xdr:col>0</xdr:col>
      <xdr:colOff>1607820</xdr:colOff>
      <xdr:row>355</xdr:row>
      <xdr:rowOff>1460500</xdr:rowOff>
    </xdr:to>
    <xdr:pic>
      <xdr:nvPicPr>
        <xdr:cNvPr id="8" name="图片 7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114300" y="143451580"/>
          <a:ext cx="1493520" cy="1406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85725</xdr:colOff>
      <xdr:row>229</xdr:row>
      <xdr:rowOff>117475</xdr:rowOff>
    </xdr:from>
    <xdr:to>
      <xdr:col>0</xdr:col>
      <xdr:colOff>1590675</xdr:colOff>
      <xdr:row>230</xdr:row>
      <xdr:rowOff>564515</xdr:rowOff>
    </xdr:to>
    <xdr:pic>
      <xdr:nvPicPr>
        <xdr:cNvPr id="4" name="图片 3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85725" y="81704180"/>
          <a:ext cx="1504950" cy="12217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76200</xdr:colOff>
      <xdr:row>294</xdr:row>
      <xdr:rowOff>44450</xdr:rowOff>
    </xdr:from>
    <xdr:to>
      <xdr:col>0</xdr:col>
      <xdr:colOff>1581785</xdr:colOff>
      <xdr:row>295</xdr:row>
      <xdr:rowOff>660400</xdr:rowOff>
    </xdr:to>
    <xdr:pic>
      <xdr:nvPicPr>
        <xdr:cNvPr id="9" name="图片 8"/>
        <xdr:cNvPicPr>
          <a:picLocks noChangeAspect="1"/>
        </xdr:cNvPicPr>
      </xdr:nvPicPr>
      <xdr:blipFill>
        <a:blip r:embed="rId74"/>
        <a:stretch>
          <a:fillRect/>
        </a:stretch>
      </xdr:blipFill>
      <xdr:spPr>
        <a:xfrm>
          <a:off x="76200" y="105837355"/>
          <a:ext cx="1505585" cy="1301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85725</xdr:colOff>
      <xdr:row>310</xdr:row>
      <xdr:rowOff>41275</xdr:rowOff>
    </xdr:from>
    <xdr:to>
      <xdr:col>0</xdr:col>
      <xdr:colOff>1578610</xdr:colOff>
      <xdr:row>310</xdr:row>
      <xdr:rowOff>1372235</xdr:rowOff>
    </xdr:to>
    <xdr:pic>
      <xdr:nvPicPr>
        <xdr:cNvPr id="12" name="图片 11"/>
        <xdr:cNvPicPr>
          <a:picLocks noChangeAspect="1"/>
        </xdr:cNvPicPr>
      </xdr:nvPicPr>
      <xdr:blipFill>
        <a:blip r:embed="rId75"/>
        <a:stretch>
          <a:fillRect/>
        </a:stretch>
      </xdr:blipFill>
      <xdr:spPr>
        <a:xfrm>
          <a:off x="85725" y="115117880"/>
          <a:ext cx="1492885" cy="1330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66675</xdr:colOff>
      <xdr:row>311</xdr:row>
      <xdr:rowOff>38100</xdr:rowOff>
    </xdr:from>
    <xdr:to>
      <xdr:col>0</xdr:col>
      <xdr:colOff>1563370</xdr:colOff>
      <xdr:row>311</xdr:row>
      <xdr:rowOff>1428750</xdr:rowOff>
    </xdr:to>
    <xdr:pic>
      <xdr:nvPicPr>
        <xdr:cNvPr id="13" name="图片 12"/>
        <xdr:cNvPicPr>
          <a:picLocks noChangeAspect="1"/>
        </xdr:cNvPicPr>
      </xdr:nvPicPr>
      <xdr:blipFill>
        <a:blip r:embed="rId76"/>
        <a:stretch>
          <a:fillRect/>
        </a:stretch>
      </xdr:blipFill>
      <xdr:spPr>
        <a:xfrm>
          <a:off x="66675" y="116562505"/>
          <a:ext cx="1496695" cy="1390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54</xdr:row>
      <xdr:rowOff>156210</xdr:rowOff>
    </xdr:from>
    <xdr:to>
      <xdr:col>0</xdr:col>
      <xdr:colOff>1476375</xdr:colOff>
      <xdr:row>58</xdr:row>
      <xdr:rowOff>261620</xdr:rowOff>
    </xdr:to>
    <xdr:pic>
      <xdr:nvPicPr>
        <xdr:cNvPr id="14" name="图片 13"/>
        <xdr:cNvPicPr>
          <a:picLocks noChangeAspect="1"/>
        </xdr:cNvPicPr>
      </xdr:nvPicPr>
      <xdr:blipFill>
        <a:blip r:embed="rId77"/>
        <a:stretch>
          <a:fillRect/>
        </a:stretch>
      </xdr:blipFill>
      <xdr:spPr>
        <a:xfrm>
          <a:off x="9525" y="23727410"/>
          <a:ext cx="1466850" cy="1375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114300</xdr:colOff>
      <xdr:row>32</xdr:row>
      <xdr:rowOff>238125</xdr:rowOff>
    </xdr:from>
    <xdr:to>
      <xdr:col>0</xdr:col>
      <xdr:colOff>1455420</xdr:colOff>
      <xdr:row>35</xdr:row>
      <xdr:rowOff>301625</xdr:rowOff>
    </xdr:to>
    <xdr:pic>
      <xdr:nvPicPr>
        <xdr:cNvPr id="15" name="图片 14"/>
        <xdr:cNvPicPr>
          <a:picLocks noChangeAspect="1"/>
        </xdr:cNvPicPr>
      </xdr:nvPicPr>
      <xdr:blipFill>
        <a:blip r:embed="rId78"/>
        <a:srcRect l="6721" t="1449" r="4684" b="1075"/>
        <a:stretch>
          <a:fillRect/>
        </a:stretch>
      </xdr:blipFill>
      <xdr:spPr>
        <a:xfrm>
          <a:off x="114300" y="16697325"/>
          <a:ext cx="1341120" cy="1257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191</xdr:row>
      <xdr:rowOff>78740</xdr:rowOff>
    </xdr:from>
    <xdr:to>
      <xdr:col>0</xdr:col>
      <xdr:colOff>1610360</xdr:colOff>
      <xdr:row>196</xdr:row>
      <xdr:rowOff>50165</xdr:rowOff>
    </xdr:to>
    <xdr:pic>
      <xdr:nvPicPr>
        <xdr:cNvPr id="17" name="图片 16"/>
        <xdr:cNvPicPr>
          <a:picLocks noChangeAspect="1"/>
        </xdr:cNvPicPr>
      </xdr:nvPicPr>
      <xdr:blipFill>
        <a:blip r:embed="rId79"/>
        <a:srcRect l="9219" r="11129" b="1480"/>
        <a:stretch>
          <a:fillRect/>
        </a:stretch>
      </xdr:blipFill>
      <xdr:spPr>
        <a:xfrm>
          <a:off x="635" y="67911345"/>
          <a:ext cx="1609725" cy="1495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0</xdr:colOff>
      <xdr:row>63</xdr:row>
      <xdr:rowOff>244475</xdr:rowOff>
    </xdr:from>
    <xdr:to>
      <xdr:col>11</xdr:col>
      <xdr:colOff>107315</xdr:colOff>
      <xdr:row>67</xdr:row>
      <xdr:rowOff>247650</xdr:rowOff>
    </xdr:to>
    <xdr:pic>
      <xdr:nvPicPr>
        <xdr:cNvPr id="18" name="图片 17"/>
        <xdr:cNvPicPr>
          <a:picLocks noChangeAspect="1"/>
        </xdr:cNvPicPr>
      </xdr:nvPicPr>
      <xdr:blipFill>
        <a:blip r:embed="rId80"/>
        <a:stretch>
          <a:fillRect/>
        </a:stretch>
      </xdr:blipFill>
      <xdr:spPr>
        <a:xfrm>
          <a:off x="13004165" y="26622375"/>
          <a:ext cx="793115" cy="1222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0</xdr:colOff>
      <xdr:row>63</xdr:row>
      <xdr:rowOff>237490</xdr:rowOff>
    </xdr:from>
    <xdr:to>
      <xdr:col>11</xdr:col>
      <xdr:colOff>347980</xdr:colOff>
      <xdr:row>67</xdr:row>
      <xdr:rowOff>291465</xdr:rowOff>
    </xdr:to>
    <xdr:pic>
      <xdr:nvPicPr>
        <xdr:cNvPr id="19" name="图片 18"/>
        <xdr:cNvPicPr>
          <a:picLocks noChangeAspect="1"/>
        </xdr:cNvPicPr>
      </xdr:nvPicPr>
      <xdr:blipFill>
        <a:blip r:embed="rId81"/>
        <a:stretch>
          <a:fillRect/>
        </a:stretch>
      </xdr:blipFill>
      <xdr:spPr>
        <a:xfrm>
          <a:off x="13004165" y="26615390"/>
          <a:ext cx="1033780" cy="1273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95250</xdr:colOff>
      <xdr:row>319</xdr:row>
      <xdr:rowOff>37465</xdr:rowOff>
    </xdr:from>
    <xdr:to>
      <xdr:col>0</xdr:col>
      <xdr:colOff>1536700</xdr:colOff>
      <xdr:row>319</xdr:row>
      <xdr:rowOff>1365885</xdr:rowOff>
    </xdr:to>
    <xdr:pic>
      <xdr:nvPicPr>
        <xdr:cNvPr id="20" name="图片 19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95250" y="122314970"/>
          <a:ext cx="1441450" cy="1328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76200</xdr:colOff>
      <xdr:row>272</xdr:row>
      <xdr:rowOff>43815</xdr:rowOff>
    </xdr:from>
    <xdr:to>
      <xdr:col>0</xdr:col>
      <xdr:colOff>1620520</xdr:colOff>
      <xdr:row>274</xdr:row>
      <xdr:rowOff>409575</xdr:rowOff>
    </xdr:to>
    <xdr:pic>
      <xdr:nvPicPr>
        <xdr:cNvPr id="22" name="图片 21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76200" y="97492820"/>
          <a:ext cx="1544320" cy="1432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92075</xdr:colOff>
      <xdr:row>107</xdr:row>
      <xdr:rowOff>36830</xdr:rowOff>
    </xdr:from>
    <xdr:to>
      <xdr:col>0</xdr:col>
      <xdr:colOff>1630045</xdr:colOff>
      <xdr:row>112</xdr:row>
      <xdr:rowOff>76200</xdr:rowOff>
    </xdr:to>
    <xdr:pic>
      <xdr:nvPicPr>
        <xdr:cNvPr id="23" name="图片 22"/>
        <xdr:cNvPicPr>
          <a:picLocks noChangeAspect="1"/>
        </xdr:cNvPicPr>
      </xdr:nvPicPr>
      <xdr:blipFill>
        <a:blip r:embed="rId84"/>
        <a:stretch>
          <a:fillRect/>
        </a:stretch>
      </xdr:blipFill>
      <xdr:spPr>
        <a:xfrm>
          <a:off x="92075" y="44296330"/>
          <a:ext cx="1537970" cy="13728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34290</xdr:colOff>
      <xdr:row>91</xdr:row>
      <xdr:rowOff>80645</xdr:rowOff>
    </xdr:from>
    <xdr:to>
      <xdr:col>0</xdr:col>
      <xdr:colOff>1548130</xdr:colOff>
      <xdr:row>92</xdr:row>
      <xdr:rowOff>652145</xdr:rowOff>
    </xdr:to>
    <xdr:pic>
      <xdr:nvPicPr>
        <xdr:cNvPr id="24" name="图片 23"/>
        <xdr:cNvPicPr>
          <a:picLocks noChangeAspect="1"/>
        </xdr:cNvPicPr>
      </xdr:nvPicPr>
      <xdr:blipFill>
        <a:blip r:embed="rId85"/>
        <a:stretch>
          <a:fillRect/>
        </a:stretch>
      </xdr:blipFill>
      <xdr:spPr>
        <a:xfrm>
          <a:off x="34290" y="37507545"/>
          <a:ext cx="1513840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34925</xdr:colOff>
      <xdr:row>99</xdr:row>
      <xdr:rowOff>89535</xdr:rowOff>
    </xdr:from>
    <xdr:to>
      <xdr:col>0</xdr:col>
      <xdr:colOff>1556385</xdr:colOff>
      <xdr:row>102</xdr:row>
      <xdr:rowOff>291465</xdr:rowOff>
    </xdr:to>
    <xdr:pic>
      <xdr:nvPicPr>
        <xdr:cNvPr id="21" name="图片 20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34925" y="41250235"/>
          <a:ext cx="1521460" cy="1344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33655</xdr:colOff>
      <xdr:row>313</xdr:row>
      <xdr:rowOff>53340</xdr:rowOff>
    </xdr:from>
    <xdr:to>
      <xdr:col>0</xdr:col>
      <xdr:colOff>1608455</xdr:colOff>
      <xdr:row>315</xdr:row>
      <xdr:rowOff>450850</xdr:rowOff>
    </xdr:to>
    <xdr:pic>
      <xdr:nvPicPr>
        <xdr:cNvPr id="25" name="图片 24"/>
        <xdr:cNvPicPr>
          <a:picLocks noChangeAspect="1"/>
        </xdr:cNvPicPr>
      </xdr:nvPicPr>
      <xdr:blipFill>
        <a:blip r:embed="rId86"/>
        <a:stretch>
          <a:fillRect/>
        </a:stretch>
      </xdr:blipFill>
      <xdr:spPr>
        <a:xfrm>
          <a:off x="33655" y="119473345"/>
          <a:ext cx="1574800" cy="1388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19050</xdr:colOff>
      <xdr:row>290</xdr:row>
      <xdr:rowOff>20955</xdr:rowOff>
    </xdr:from>
    <xdr:to>
      <xdr:col>0</xdr:col>
      <xdr:colOff>1624965</xdr:colOff>
      <xdr:row>293</xdr:row>
      <xdr:rowOff>248285</xdr:rowOff>
    </xdr:to>
    <xdr:pic>
      <xdr:nvPicPr>
        <xdr:cNvPr id="3" name="图片 2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19050" y="104137460"/>
          <a:ext cx="1605915" cy="1484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28575</xdr:colOff>
      <xdr:row>89</xdr:row>
      <xdr:rowOff>88900</xdr:rowOff>
    </xdr:from>
    <xdr:to>
      <xdr:col>0</xdr:col>
      <xdr:colOff>1595120</xdr:colOff>
      <xdr:row>90</xdr:row>
      <xdr:rowOff>718185</xdr:rowOff>
    </xdr:to>
    <xdr:pic>
      <xdr:nvPicPr>
        <xdr:cNvPr id="26" name="图片 25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28575" y="35941000"/>
          <a:ext cx="1566545" cy="1416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99695</xdr:colOff>
      <xdr:row>170</xdr:row>
      <xdr:rowOff>217805</xdr:rowOff>
    </xdr:from>
    <xdr:to>
      <xdr:col>0</xdr:col>
      <xdr:colOff>1593215</xdr:colOff>
      <xdr:row>174</xdr:row>
      <xdr:rowOff>175260</xdr:rowOff>
    </xdr:to>
    <xdr:pic>
      <xdr:nvPicPr>
        <xdr:cNvPr id="16" name="图片 15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99695" y="61827410"/>
          <a:ext cx="1493520" cy="12782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133350</xdr:colOff>
      <xdr:row>236</xdr:row>
      <xdr:rowOff>38100</xdr:rowOff>
    </xdr:from>
    <xdr:to>
      <xdr:col>0</xdr:col>
      <xdr:colOff>1423670</xdr:colOff>
      <xdr:row>236</xdr:row>
      <xdr:rowOff>1389380</xdr:rowOff>
    </xdr:to>
    <xdr:pic>
      <xdr:nvPicPr>
        <xdr:cNvPr id="27" name="图片 78"/>
        <xdr:cNvPicPr>
          <a:picLocks noChangeAspect="1"/>
        </xdr:cNvPicPr>
      </xdr:nvPicPr>
      <xdr:blipFill>
        <a:blip r:embed="rId90">
          <a:lum/>
        </a:blip>
        <a:stretch>
          <a:fillRect/>
        </a:stretch>
      </xdr:blipFill>
      <xdr:spPr>
        <a:xfrm>
          <a:off x="133350" y="84634705"/>
          <a:ext cx="1290320" cy="13512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66675</xdr:colOff>
      <xdr:row>81</xdr:row>
      <xdr:rowOff>154940</xdr:rowOff>
    </xdr:from>
    <xdr:to>
      <xdr:col>0</xdr:col>
      <xdr:colOff>1553845</xdr:colOff>
      <xdr:row>84</xdr:row>
      <xdr:rowOff>295275</xdr:rowOff>
    </xdr:to>
    <xdr:pic>
      <xdr:nvPicPr>
        <xdr:cNvPr id="28" name="图片 27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66675" y="32959040"/>
          <a:ext cx="1487170" cy="12833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131</xdr:row>
      <xdr:rowOff>69850</xdr:rowOff>
    </xdr:from>
    <xdr:to>
      <xdr:col>0</xdr:col>
      <xdr:colOff>1572260</xdr:colOff>
      <xdr:row>135</xdr:row>
      <xdr:rowOff>259715</xdr:rowOff>
    </xdr:to>
    <xdr:pic>
      <xdr:nvPicPr>
        <xdr:cNvPr id="29" name="图片 28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9525" y="50958750"/>
          <a:ext cx="1562735" cy="1436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38100</xdr:colOff>
      <xdr:row>267</xdr:row>
      <xdr:rowOff>193040</xdr:rowOff>
    </xdr:from>
    <xdr:to>
      <xdr:col>0</xdr:col>
      <xdr:colOff>1596390</xdr:colOff>
      <xdr:row>271</xdr:row>
      <xdr:rowOff>228600</xdr:rowOff>
    </xdr:to>
    <xdr:pic>
      <xdr:nvPicPr>
        <xdr:cNvPr id="30" name="图片 29"/>
        <xdr:cNvPicPr>
          <a:picLocks noChangeAspect="1"/>
        </xdr:cNvPicPr>
      </xdr:nvPicPr>
      <xdr:blipFill>
        <a:blip r:embed="rId93" r:link="rId94"/>
        <a:srcRect l="10927" r="10377" b="1076"/>
        <a:stretch>
          <a:fillRect/>
        </a:stretch>
      </xdr:blipFill>
      <xdr:spPr>
        <a:xfrm>
          <a:off x="38100" y="95864045"/>
          <a:ext cx="1558290" cy="145796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57150</xdr:colOff>
      <xdr:row>85</xdr:row>
      <xdr:rowOff>57150</xdr:rowOff>
    </xdr:from>
    <xdr:to>
      <xdr:col>0</xdr:col>
      <xdr:colOff>1628775</xdr:colOff>
      <xdr:row>88</xdr:row>
      <xdr:rowOff>269240</xdr:rowOff>
    </xdr:to>
    <xdr:pic>
      <xdr:nvPicPr>
        <xdr:cNvPr id="31" name="图片 30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57150" y="34385250"/>
          <a:ext cx="1571625" cy="1355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111760</xdr:colOff>
      <xdr:row>326</xdr:row>
      <xdr:rowOff>98425</xdr:rowOff>
    </xdr:from>
    <xdr:to>
      <xdr:col>0</xdr:col>
      <xdr:colOff>1581150</xdr:colOff>
      <xdr:row>328</xdr:row>
      <xdr:rowOff>431800</xdr:rowOff>
    </xdr:to>
    <xdr:pic>
      <xdr:nvPicPr>
        <xdr:cNvPr id="32" name="图片 31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>
          <a:off x="111760" y="126833630"/>
          <a:ext cx="1469390" cy="1323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63500</xdr:colOff>
      <xdr:row>227</xdr:row>
      <xdr:rowOff>144780</xdr:rowOff>
    </xdr:from>
    <xdr:to>
      <xdr:col>0</xdr:col>
      <xdr:colOff>1559560</xdr:colOff>
      <xdr:row>228</xdr:row>
      <xdr:rowOff>647700</xdr:rowOff>
    </xdr:to>
    <xdr:pic>
      <xdr:nvPicPr>
        <xdr:cNvPr id="10" name="图片 9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63500" y="80105885"/>
          <a:ext cx="1496060" cy="131572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104775</xdr:colOff>
      <xdr:row>22</xdr:row>
      <xdr:rowOff>76200</xdr:rowOff>
    </xdr:from>
    <xdr:to>
      <xdr:col>0</xdr:col>
      <xdr:colOff>1695450</xdr:colOff>
      <xdr:row>24</xdr:row>
      <xdr:rowOff>466725</xdr:rowOff>
    </xdr:to>
    <xdr:pic>
      <xdr:nvPicPr>
        <xdr:cNvPr id="6145" name="图片 1" descr="54b54c6ae043c69a65a884dff0b0bf1"/>
        <xdr:cNvPicPr>
          <a:picLocks noChangeAspect="1"/>
        </xdr:cNvPicPr>
      </xdr:nvPicPr>
      <xdr:blipFill>
        <a:blip r:embed="rId1">
          <a:lum/>
        </a:blip>
        <a:stretch>
          <a:fillRect/>
        </a:stretch>
      </xdr:blipFill>
      <xdr:spPr>
        <a:xfrm>
          <a:off x="104775" y="11023600"/>
          <a:ext cx="1590675" cy="1533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133350</xdr:colOff>
      <xdr:row>106</xdr:row>
      <xdr:rowOff>66675</xdr:rowOff>
    </xdr:from>
    <xdr:to>
      <xdr:col>0</xdr:col>
      <xdr:colOff>1762125</xdr:colOff>
      <xdr:row>106</xdr:row>
      <xdr:rowOff>1647825</xdr:rowOff>
    </xdr:to>
    <xdr:pic>
      <xdr:nvPicPr>
        <xdr:cNvPr id="6148" name="Picture 1559" descr="C:\Users\Administrator\Desktop\24090d164f60265a761ce978f9e6c33.jpg24090d164f60265a761ce978f9e6c33"/>
        <xdr:cNvPicPr>
          <a:picLocks noChangeAspect="1"/>
        </xdr:cNvPicPr>
      </xdr:nvPicPr>
      <xdr:blipFill>
        <a:blip r:embed="rId2">
          <a:lum/>
        </a:blip>
        <a:stretch>
          <a:fillRect/>
        </a:stretch>
      </xdr:blipFill>
      <xdr:spPr>
        <a:xfrm>
          <a:off x="133350" y="46104175"/>
          <a:ext cx="1628775" cy="1581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209550</xdr:colOff>
      <xdr:row>68</xdr:row>
      <xdr:rowOff>28575</xdr:rowOff>
    </xdr:from>
    <xdr:to>
      <xdr:col>0</xdr:col>
      <xdr:colOff>1543050</xdr:colOff>
      <xdr:row>71</xdr:row>
      <xdr:rowOff>219075</xdr:rowOff>
    </xdr:to>
    <xdr:pic>
      <xdr:nvPicPr>
        <xdr:cNvPr id="6149" name="图片 27" descr="1647839885"/>
        <xdr:cNvPicPr>
          <a:picLocks noChangeAspect="1"/>
        </xdr:cNvPicPr>
      </xdr:nvPicPr>
      <xdr:blipFill>
        <a:blip r:embed="rId3">
          <a:lum/>
        </a:blip>
        <a:stretch>
          <a:fillRect/>
        </a:stretch>
      </xdr:blipFill>
      <xdr:spPr>
        <a:xfrm>
          <a:off x="209550" y="30648275"/>
          <a:ext cx="1333500" cy="1333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142875</xdr:colOff>
      <xdr:row>55</xdr:row>
      <xdr:rowOff>28575</xdr:rowOff>
    </xdr:from>
    <xdr:to>
      <xdr:col>0</xdr:col>
      <xdr:colOff>1609725</xdr:colOff>
      <xdr:row>58</xdr:row>
      <xdr:rowOff>314325</xdr:rowOff>
    </xdr:to>
    <xdr:pic>
      <xdr:nvPicPr>
        <xdr:cNvPr id="6150" name="图片 31" descr="1647840074(1)"/>
        <xdr:cNvPicPr>
          <a:picLocks noChangeAspect="1"/>
        </xdr:cNvPicPr>
      </xdr:nvPicPr>
      <xdr:blipFill>
        <a:blip r:embed="rId4">
          <a:lum/>
        </a:blip>
        <a:stretch>
          <a:fillRect/>
        </a:stretch>
      </xdr:blipFill>
      <xdr:spPr>
        <a:xfrm>
          <a:off x="142875" y="26025475"/>
          <a:ext cx="1466850" cy="1352550"/>
        </a:xfrm>
        <a:prstGeom prst="rect">
          <a:avLst/>
        </a:prstGeom>
        <a:noFill/>
        <a:ln w="12700" cap="flat" cmpd="sng">
          <a:noFill/>
          <a:prstDash val="sysDot"/>
          <a:round/>
          <a:headEnd type="none" w="med" len="med"/>
          <a:tailEnd type="none" w="med" len="med"/>
        </a:ln>
      </xdr:spPr>
    </xdr:pic>
    <xdr:clientData/>
  </xdr:twoCellAnchor>
  <xdr:twoCellAnchor editAs="oneCell">
    <xdr:from>
      <xdr:col>0</xdr:col>
      <xdr:colOff>142875</xdr:colOff>
      <xdr:row>2</xdr:row>
      <xdr:rowOff>180975</xdr:rowOff>
    </xdr:from>
    <xdr:to>
      <xdr:col>0</xdr:col>
      <xdr:colOff>1495425</xdr:colOff>
      <xdr:row>7</xdr:row>
      <xdr:rowOff>114300</xdr:rowOff>
    </xdr:to>
    <xdr:pic>
      <xdr:nvPicPr>
        <xdr:cNvPr id="6151" name="图片 33" descr="1647840161(1)"/>
        <xdr:cNvPicPr>
          <a:picLocks noChangeAspect="1"/>
        </xdr:cNvPicPr>
      </xdr:nvPicPr>
      <xdr:blipFill>
        <a:blip r:embed="rId5">
          <a:lum/>
        </a:blip>
        <a:stretch>
          <a:fillRect/>
        </a:stretch>
      </xdr:blipFill>
      <xdr:spPr>
        <a:xfrm>
          <a:off x="142875" y="1616075"/>
          <a:ext cx="1352550" cy="1266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81915</xdr:colOff>
      <xdr:row>76</xdr:row>
      <xdr:rowOff>91440</xdr:rowOff>
    </xdr:from>
    <xdr:to>
      <xdr:col>0</xdr:col>
      <xdr:colOff>1661795</xdr:colOff>
      <xdr:row>80</xdr:row>
      <xdr:rowOff>206375</xdr:rowOff>
    </xdr:to>
    <xdr:pic>
      <xdr:nvPicPr>
        <xdr:cNvPr id="6152" name="图片 35" descr="1647840217(1)"/>
        <xdr:cNvPicPr>
          <a:picLocks noChangeAspect="1"/>
        </xdr:cNvPicPr>
      </xdr:nvPicPr>
      <xdr:blipFill>
        <a:blip r:embed="rId6">
          <a:lum/>
        </a:blip>
        <a:stretch>
          <a:fillRect/>
        </a:stretch>
      </xdr:blipFill>
      <xdr:spPr>
        <a:xfrm>
          <a:off x="81915" y="33759140"/>
          <a:ext cx="1579880" cy="1384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0</xdr:colOff>
      <xdr:row>121</xdr:row>
      <xdr:rowOff>208915</xdr:rowOff>
    </xdr:from>
    <xdr:to>
      <xdr:col>12</xdr:col>
      <xdr:colOff>269875</xdr:colOff>
      <xdr:row>127</xdr:row>
      <xdr:rowOff>209550</xdr:rowOff>
    </xdr:to>
    <xdr:pic>
      <xdr:nvPicPr>
        <xdr:cNvPr id="6153" name="图片 36" descr="1647840256(1)"/>
        <xdr:cNvPicPr>
          <a:picLocks noChangeAspect="1"/>
        </xdr:cNvPicPr>
      </xdr:nvPicPr>
      <xdr:blipFill>
        <a:blip r:embed="rId7">
          <a:lum/>
        </a:blip>
        <a:stretch>
          <a:fillRect/>
        </a:stretch>
      </xdr:blipFill>
      <xdr:spPr>
        <a:xfrm>
          <a:off x="12477750" y="55580915"/>
          <a:ext cx="1641475" cy="1524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142875</xdr:colOff>
      <xdr:row>121</xdr:row>
      <xdr:rowOff>66675</xdr:rowOff>
    </xdr:from>
    <xdr:to>
      <xdr:col>0</xdr:col>
      <xdr:colOff>1771650</xdr:colOff>
      <xdr:row>127</xdr:row>
      <xdr:rowOff>104775</xdr:rowOff>
    </xdr:to>
    <xdr:pic>
      <xdr:nvPicPr>
        <xdr:cNvPr id="6154" name="图片 37" descr="1647840276(1)"/>
        <xdr:cNvPicPr>
          <a:picLocks noChangeAspect="1"/>
        </xdr:cNvPicPr>
      </xdr:nvPicPr>
      <xdr:blipFill>
        <a:blip r:embed="rId8">
          <a:lum/>
        </a:blip>
        <a:stretch>
          <a:fillRect/>
        </a:stretch>
      </xdr:blipFill>
      <xdr:spPr>
        <a:xfrm>
          <a:off x="142875" y="55438675"/>
          <a:ext cx="1628775" cy="1562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142875</xdr:colOff>
      <xdr:row>98</xdr:row>
      <xdr:rowOff>28575</xdr:rowOff>
    </xdr:from>
    <xdr:to>
      <xdr:col>0</xdr:col>
      <xdr:colOff>1704975</xdr:colOff>
      <xdr:row>100</xdr:row>
      <xdr:rowOff>457200</xdr:rowOff>
    </xdr:to>
    <xdr:pic>
      <xdr:nvPicPr>
        <xdr:cNvPr id="6155" name="图片 38" descr="1647840354(1)"/>
        <xdr:cNvPicPr>
          <a:picLocks noChangeAspect="1"/>
        </xdr:cNvPicPr>
      </xdr:nvPicPr>
      <xdr:blipFill>
        <a:blip r:embed="rId9">
          <a:lum/>
        </a:blip>
        <a:stretch>
          <a:fillRect/>
        </a:stretch>
      </xdr:blipFill>
      <xdr:spPr>
        <a:xfrm>
          <a:off x="142875" y="42700575"/>
          <a:ext cx="1562100" cy="1571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190500</xdr:colOff>
      <xdr:row>101</xdr:row>
      <xdr:rowOff>104775</xdr:rowOff>
    </xdr:from>
    <xdr:to>
      <xdr:col>0</xdr:col>
      <xdr:colOff>1704975</xdr:colOff>
      <xdr:row>105</xdr:row>
      <xdr:rowOff>266700</xdr:rowOff>
    </xdr:to>
    <xdr:pic>
      <xdr:nvPicPr>
        <xdr:cNvPr id="6156" name="图片 10" descr="1665551254240"/>
        <xdr:cNvPicPr>
          <a:picLocks noChangeAspect="1"/>
        </xdr:cNvPicPr>
      </xdr:nvPicPr>
      <xdr:blipFill>
        <a:blip r:embed="rId10">
          <a:lum/>
        </a:blip>
        <a:srcRect l="8501" t="372" r="3284" b="359"/>
        <a:stretch>
          <a:fillRect/>
        </a:stretch>
      </xdr:blipFill>
      <xdr:spPr>
        <a:xfrm>
          <a:off x="190500" y="44491275"/>
          <a:ext cx="1514475" cy="1482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133350</xdr:colOff>
      <xdr:row>115</xdr:row>
      <xdr:rowOff>47625</xdr:rowOff>
    </xdr:from>
    <xdr:to>
      <xdr:col>0</xdr:col>
      <xdr:colOff>1629410</xdr:colOff>
      <xdr:row>117</xdr:row>
      <xdr:rowOff>409575</xdr:rowOff>
    </xdr:to>
    <xdr:pic>
      <xdr:nvPicPr>
        <xdr:cNvPr id="6157" name="图片 11"/>
        <xdr:cNvPicPr>
          <a:picLocks noChangeAspect="1"/>
        </xdr:cNvPicPr>
      </xdr:nvPicPr>
      <xdr:blipFill>
        <a:blip r:embed="rId11">
          <a:lum/>
        </a:blip>
        <a:stretch>
          <a:fillRect/>
        </a:stretch>
      </xdr:blipFill>
      <xdr:spPr>
        <a:xfrm>
          <a:off x="133350" y="52524025"/>
          <a:ext cx="1496060" cy="1327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0</xdr:colOff>
      <xdr:row>2</xdr:row>
      <xdr:rowOff>28575</xdr:rowOff>
    </xdr:from>
    <xdr:to>
      <xdr:col>12</xdr:col>
      <xdr:colOff>274955</xdr:colOff>
      <xdr:row>7</xdr:row>
      <xdr:rowOff>245110</xdr:rowOff>
    </xdr:to>
    <xdr:pic>
      <xdr:nvPicPr>
        <xdr:cNvPr id="6158" name="图片 17" descr="1678075839522"/>
        <xdr:cNvPicPr>
          <a:picLocks noChangeAspect="1"/>
        </xdr:cNvPicPr>
      </xdr:nvPicPr>
      <xdr:blipFill>
        <a:blip r:embed="rId12">
          <a:lum/>
        </a:blip>
        <a:stretch>
          <a:fillRect/>
        </a:stretch>
      </xdr:blipFill>
      <xdr:spPr>
        <a:xfrm>
          <a:off x="12477750" y="1463675"/>
          <a:ext cx="1646555" cy="1550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133350</xdr:colOff>
      <xdr:row>96</xdr:row>
      <xdr:rowOff>57150</xdr:rowOff>
    </xdr:from>
    <xdr:to>
      <xdr:col>0</xdr:col>
      <xdr:colOff>1504950</xdr:colOff>
      <xdr:row>97</xdr:row>
      <xdr:rowOff>666750</xdr:rowOff>
    </xdr:to>
    <xdr:pic>
      <xdr:nvPicPr>
        <xdr:cNvPr id="6159" name="图片 16"/>
        <xdr:cNvPicPr>
          <a:picLocks noChangeAspect="1"/>
        </xdr:cNvPicPr>
      </xdr:nvPicPr>
      <xdr:blipFill>
        <a:blip r:embed="rId13">
          <a:lum/>
        </a:blip>
        <a:stretch>
          <a:fillRect/>
        </a:stretch>
      </xdr:blipFill>
      <xdr:spPr>
        <a:xfrm>
          <a:off x="133350" y="41332150"/>
          <a:ext cx="1371600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152400</xdr:colOff>
      <xdr:row>50</xdr:row>
      <xdr:rowOff>38100</xdr:rowOff>
    </xdr:from>
    <xdr:to>
      <xdr:col>0</xdr:col>
      <xdr:colOff>1647825</xdr:colOff>
      <xdr:row>51</xdr:row>
      <xdr:rowOff>704850</xdr:rowOff>
    </xdr:to>
    <xdr:pic>
      <xdr:nvPicPr>
        <xdr:cNvPr id="6160" name="图片 18"/>
        <xdr:cNvPicPr>
          <a:picLocks noChangeAspect="1"/>
        </xdr:cNvPicPr>
      </xdr:nvPicPr>
      <xdr:blipFill>
        <a:blip r:embed="rId14">
          <a:lum/>
        </a:blip>
        <a:stretch>
          <a:fillRect/>
        </a:stretch>
      </xdr:blipFill>
      <xdr:spPr>
        <a:xfrm>
          <a:off x="152400" y="23114000"/>
          <a:ext cx="1495425" cy="1441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0</xdr:colOff>
      <xdr:row>101</xdr:row>
      <xdr:rowOff>57150</xdr:rowOff>
    </xdr:from>
    <xdr:to>
      <xdr:col>12</xdr:col>
      <xdr:colOff>76200</xdr:colOff>
      <xdr:row>105</xdr:row>
      <xdr:rowOff>142875</xdr:rowOff>
    </xdr:to>
    <xdr:pic>
      <xdr:nvPicPr>
        <xdr:cNvPr id="6161" name="图片 19"/>
        <xdr:cNvPicPr>
          <a:picLocks noChangeAspect="1"/>
        </xdr:cNvPicPr>
      </xdr:nvPicPr>
      <xdr:blipFill>
        <a:blip r:embed="rId15">
          <a:lum/>
        </a:blip>
        <a:stretch>
          <a:fillRect/>
        </a:stretch>
      </xdr:blipFill>
      <xdr:spPr>
        <a:xfrm>
          <a:off x="12477750" y="44443650"/>
          <a:ext cx="1447800" cy="1406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200025</xdr:colOff>
      <xdr:row>35</xdr:row>
      <xdr:rowOff>47625</xdr:rowOff>
    </xdr:from>
    <xdr:to>
      <xdr:col>0</xdr:col>
      <xdr:colOff>1543050</xdr:colOff>
      <xdr:row>36</xdr:row>
      <xdr:rowOff>644525</xdr:rowOff>
    </xdr:to>
    <xdr:pic>
      <xdr:nvPicPr>
        <xdr:cNvPr id="6162" name="图片 40"/>
        <xdr:cNvPicPr>
          <a:picLocks noChangeAspect="1"/>
        </xdr:cNvPicPr>
      </xdr:nvPicPr>
      <xdr:blipFill>
        <a:blip r:embed="rId16">
          <a:lum/>
        </a:blip>
        <a:stretch>
          <a:fillRect/>
        </a:stretch>
      </xdr:blipFill>
      <xdr:spPr>
        <a:xfrm>
          <a:off x="200025" y="17268825"/>
          <a:ext cx="134302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0</xdr:colOff>
      <xdr:row>51</xdr:row>
      <xdr:rowOff>762000</xdr:rowOff>
    </xdr:from>
    <xdr:to>
      <xdr:col>11</xdr:col>
      <xdr:colOff>171450</xdr:colOff>
      <xdr:row>55</xdr:row>
      <xdr:rowOff>149860</xdr:rowOff>
    </xdr:to>
    <xdr:pic>
      <xdr:nvPicPr>
        <xdr:cNvPr id="6163" name="图片 44"/>
        <xdr:cNvPicPr>
          <a:picLocks noChangeAspect="1"/>
        </xdr:cNvPicPr>
      </xdr:nvPicPr>
      <xdr:blipFill>
        <a:blip r:embed="rId17">
          <a:lum/>
        </a:blip>
        <a:stretch>
          <a:fillRect/>
        </a:stretch>
      </xdr:blipFill>
      <xdr:spPr>
        <a:xfrm>
          <a:off x="12477750" y="24612600"/>
          <a:ext cx="857250" cy="15341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209550</xdr:colOff>
      <xdr:row>8</xdr:row>
      <xdr:rowOff>28575</xdr:rowOff>
    </xdr:from>
    <xdr:to>
      <xdr:col>0</xdr:col>
      <xdr:colOff>1524000</xdr:colOff>
      <xdr:row>9</xdr:row>
      <xdr:rowOff>628650</xdr:rowOff>
    </xdr:to>
    <xdr:pic>
      <xdr:nvPicPr>
        <xdr:cNvPr id="6166" name="图片 47"/>
        <xdr:cNvPicPr>
          <a:picLocks noChangeAspect="1"/>
        </xdr:cNvPicPr>
      </xdr:nvPicPr>
      <xdr:blipFill>
        <a:blip r:embed="rId18">
          <a:lum/>
        </a:blip>
        <a:stretch>
          <a:fillRect/>
        </a:stretch>
      </xdr:blipFill>
      <xdr:spPr>
        <a:xfrm>
          <a:off x="209550" y="3063875"/>
          <a:ext cx="1314450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180975</xdr:colOff>
      <xdr:row>13</xdr:row>
      <xdr:rowOff>76200</xdr:rowOff>
    </xdr:from>
    <xdr:to>
      <xdr:col>0</xdr:col>
      <xdr:colOff>1619250</xdr:colOff>
      <xdr:row>15</xdr:row>
      <xdr:rowOff>457200</xdr:rowOff>
    </xdr:to>
    <xdr:pic>
      <xdr:nvPicPr>
        <xdr:cNvPr id="6167" name="图片 49"/>
        <xdr:cNvPicPr>
          <a:picLocks noChangeAspect="1"/>
        </xdr:cNvPicPr>
      </xdr:nvPicPr>
      <xdr:blipFill>
        <a:blip r:embed="rId19">
          <a:lum/>
        </a:blip>
        <a:stretch>
          <a:fillRect/>
        </a:stretch>
      </xdr:blipFill>
      <xdr:spPr>
        <a:xfrm>
          <a:off x="180975" y="5994400"/>
          <a:ext cx="1438275" cy="1447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152400</xdr:colOff>
      <xdr:row>118</xdr:row>
      <xdr:rowOff>40005</xdr:rowOff>
    </xdr:from>
    <xdr:to>
      <xdr:col>0</xdr:col>
      <xdr:colOff>1524000</xdr:colOff>
      <xdr:row>120</xdr:row>
      <xdr:rowOff>406400</xdr:rowOff>
    </xdr:to>
    <xdr:pic>
      <xdr:nvPicPr>
        <xdr:cNvPr id="6168" name="图片 50"/>
        <xdr:cNvPicPr>
          <a:picLocks noChangeAspect="1"/>
        </xdr:cNvPicPr>
      </xdr:nvPicPr>
      <xdr:blipFill>
        <a:blip r:embed="rId20">
          <a:lum/>
        </a:blip>
        <a:stretch>
          <a:fillRect/>
        </a:stretch>
      </xdr:blipFill>
      <xdr:spPr>
        <a:xfrm>
          <a:off x="152400" y="53964205"/>
          <a:ext cx="1371600" cy="1331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123825</xdr:colOff>
      <xdr:row>63</xdr:row>
      <xdr:rowOff>27940</xdr:rowOff>
    </xdr:from>
    <xdr:to>
      <xdr:col>0</xdr:col>
      <xdr:colOff>1590675</xdr:colOff>
      <xdr:row>67</xdr:row>
      <xdr:rowOff>53975</xdr:rowOff>
    </xdr:to>
    <xdr:pic>
      <xdr:nvPicPr>
        <xdr:cNvPr id="6169" name="图片 51"/>
        <xdr:cNvPicPr>
          <a:picLocks noChangeAspect="1"/>
        </xdr:cNvPicPr>
      </xdr:nvPicPr>
      <xdr:blipFill>
        <a:blip r:embed="rId21">
          <a:lum/>
        </a:blip>
        <a:stretch>
          <a:fillRect/>
        </a:stretch>
      </xdr:blipFill>
      <xdr:spPr>
        <a:xfrm>
          <a:off x="123825" y="28869640"/>
          <a:ext cx="1466850" cy="1448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123825</xdr:colOff>
      <xdr:row>129</xdr:row>
      <xdr:rowOff>66675</xdr:rowOff>
    </xdr:from>
    <xdr:to>
      <xdr:col>0</xdr:col>
      <xdr:colOff>1590675</xdr:colOff>
      <xdr:row>130</xdr:row>
      <xdr:rowOff>714375</xdr:rowOff>
    </xdr:to>
    <xdr:pic>
      <xdr:nvPicPr>
        <xdr:cNvPr id="6170" name="图片 52"/>
        <xdr:cNvPicPr>
          <a:picLocks noChangeAspect="1"/>
        </xdr:cNvPicPr>
      </xdr:nvPicPr>
      <xdr:blipFill>
        <a:blip r:embed="rId22">
          <a:lum/>
        </a:blip>
        <a:stretch>
          <a:fillRect/>
        </a:stretch>
      </xdr:blipFill>
      <xdr:spPr>
        <a:xfrm>
          <a:off x="123825" y="57470675"/>
          <a:ext cx="1466850" cy="1447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847725</xdr:colOff>
      <xdr:row>0</xdr:row>
      <xdr:rowOff>47625</xdr:rowOff>
    </xdr:from>
    <xdr:to>
      <xdr:col>6</xdr:col>
      <xdr:colOff>266700</xdr:colOff>
      <xdr:row>0</xdr:row>
      <xdr:rowOff>981075</xdr:rowOff>
    </xdr:to>
    <xdr:pic>
      <xdr:nvPicPr>
        <xdr:cNvPr id="6171" name="图片 2"/>
        <xdr:cNvPicPr>
          <a:picLocks noChangeAspect="1"/>
        </xdr:cNvPicPr>
      </xdr:nvPicPr>
      <xdr:blipFill>
        <a:blip r:embed="rId23">
          <a:lum/>
        </a:blip>
        <a:srcRect t="24570" b="12921"/>
        <a:stretch>
          <a:fillRect/>
        </a:stretch>
      </xdr:blipFill>
      <xdr:spPr>
        <a:xfrm>
          <a:off x="5057775" y="47625"/>
          <a:ext cx="2257425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133350</xdr:colOff>
      <xdr:row>114</xdr:row>
      <xdr:rowOff>47625</xdr:rowOff>
    </xdr:from>
    <xdr:to>
      <xdr:col>0</xdr:col>
      <xdr:colOff>1666875</xdr:colOff>
      <xdr:row>114</xdr:row>
      <xdr:rowOff>1504950</xdr:rowOff>
    </xdr:to>
    <xdr:pic>
      <xdr:nvPicPr>
        <xdr:cNvPr id="6172" name="图片 25"/>
        <xdr:cNvPicPr>
          <a:picLocks noChangeAspect="1"/>
        </xdr:cNvPicPr>
      </xdr:nvPicPr>
      <xdr:blipFill>
        <a:blip r:embed="rId24">
          <a:lum/>
        </a:blip>
        <a:stretch>
          <a:fillRect/>
        </a:stretch>
      </xdr:blipFill>
      <xdr:spPr>
        <a:xfrm>
          <a:off x="133350" y="51000025"/>
          <a:ext cx="1533525" cy="1457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171450</xdr:colOff>
      <xdr:row>107</xdr:row>
      <xdr:rowOff>38100</xdr:rowOff>
    </xdr:from>
    <xdr:to>
      <xdr:col>0</xdr:col>
      <xdr:colOff>1752600</xdr:colOff>
      <xdr:row>109</xdr:row>
      <xdr:rowOff>457200</xdr:rowOff>
    </xdr:to>
    <xdr:pic>
      <xdr:nvPicPr>
        <xdr:cNvPr id="6173" name="图片 15"/>
        <xdr:cNvPicPr>
          <a:picLocks noChangeAspect="1"/>
        </xdr:cNvPicPr>
      </xdr:nvPicPr>
      <xdr:blipFill>
        <a:blip r:embed="rId25">
          <a:lum/>
        </a:blip>
        <a:stretch>
          <a:fillRect/>
        </a:stretch>
      </xdr:blipFill>
      <xdr:spPr>
        <a:xfrm>
          <a:off x="171450" y="47828200"/>
          <a:ext cx="1581150" cy="1409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228600</xdr:colOff>
      <xdr:row>20</xdr:row>
      <xdr:rowOff>95250</xdr:rowOff>
    </xdr:from>
    <xdr:to>
      <xdr:col>0</xdr:col>
      <xdr:colOff>1628775</xdr:colOff>
      <xdr:row>21</xdr:row>
      <xdr:rowOff>695325</xdr:rowOff>
    </xdr:to>
    <xdr:pic>
      <xdr:nvPicPr>
        <xdr:cNvPr id="6175" name="图片 31"/>
        <xdr:cNvPicPr>
          <a:picLocks noChangeAspect="1"/>
        </xdr:cNvPicPr>
      </xdr:nvPicPr>
      <xdr:blipFill>
        <a:blip r:embed="rId26">
          <a:lum/>
        </a:blip>
        <a:stretch>
          <a:fillRect/>
        </a:stretch>
      </xdr:blipFill>
      <xdr:spPr>
        <a:xfrm>
          <a:off x="228600" y="9442450"/>
          <a:ext cx="1400175" cy="1400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0</xdr:colOff>
      <xdr:row>129</xdr:row>
      <xdr:rowOff>123825</xdr:rowOff>
    </xdr:from>
    <xdr:to>
      <xdr:col>12</xdr:col>
      <xdr:colOff>27940</xdr:colOff>
      <xdr:row>130</xdr:row>
      <xdr:rowOff>723265</xdr:rowOff>
    </xdr:to>
    <xdr:pic>
      <xdr:nvPicPr>
        <xdr:cNvPr id="6176" name="图片 32"/>
        <xdr:cNvPicPr>
          <a:picLocks noChangeAspect="1"/>
        </xdr:cNvPicPr>
      </xdr:nvPicPr>
      <xdr:blipFill>
        <a:blip r:embed="rId27">
          <a:lum/>
        </a:blip>
        <a:stretch>
          <a:fillRect/>
        </a:stretch>
      </xdr:blipFill>
      <xdr:spPr>
        <a:xfrm>
          <a:off x="12477750" y="57527825"/>
          <a:ext cx="1399540" cy="1399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142875</xdr:colOff>
      <xdr:row>16</xdr:row>
      <xdr:rowOff>123825</xdr:rowOff>
    </xdr:from>
    <xdr:to>
      <xdr:col>0</xdr:col>
      <xdr:colOff>1704975</xdr:colOff>
      <xdr:row>19</xdr:row>
      <xdr:rowOff>297180</xdr:rowOff>
    </xdr:to>
    <xdr:pic>
      <xdr:nvPicPr>
        <xdr:cNvPr id="6177" name="图片 33"/>
        <xdr:cNvPicPr>
          <a:picLocks noChangeAspect="1"/>
        </xdr:cNvPicPr>
      </xdr:nvPicPr>
      <xdr:blipFill>
        <a:blip r:embed="rId28">
          <a:lum/>
        </a:blip>
        <a:stretch>
          <a:fillRect/>
        </a:stretch>
      </xdr:blipFill>
      <xdr:spPr>
        <a:xfrm>
          <a:off x="142875" y="7642225"/>
          <a:ext cx="1562100" cy="15449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0</xdr:colOff>
      <xdr:row>16</xdr:row>
      <xdr:rowOff>123825</xdr:rowOff>
    </xdr:from>
    <xdr:to>
      <xdr:col>12</xdr:col>
      <xdr:colOff>114300</xdr:colOff>
      <xdr:row>19</xdr:row>
      <xdr:rowOff>219075</xdr:rowOff>
    </xdr:to>
    <xdr:pic>
      <xdr:nvPicPr>
        <xdr:cNvPr id="6178" name="图片 34"/>
        <xdr:cNvPicPr>
          <a:picLocks noChangeAspect="1"/>
        </xdr:cNvPicPr>
      </xdr:nvPicPr>
      <xdr:blipFill>
        <a:blip r:embed="rId29">
          <a:lum/>
        </a:blip>
        <a:stretch>
          <a:fillRect/>
        </a:stretch>
      </xdr:blipFill>
      <xdr:spPr>
        <a:xfrm>
          <a:off x="12477750" y="7642225"/>
          <a:ext cx="1485900" cy="1466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123825</xdr:colOff>
      <xdr:row>110</xdr:row>
      <xdr:rowOff>95250</xdr:rowOff>
    </xdr:from>
    <xdr:to>
      <xdr:col>0</xdr:col>
      <xdr:colOff>1733550</xdr:colOff>
      <xdr:row>113</xdr:row>
      <xdr:rowOff>371475</xdr:rowOff>
    </xdr:to>
    <xdr:pic>
      <xdr:nvPicPr>
        <xdr:cNvPr id="6179" name="图片 35"/>
        <xdr:cNvPicPr>
          <a:picLocks noChangeAspect="1"/>
        </xdr:cNvPicPr>
      </xdr:nvPicPr>
      <xdr:blipFill>
        <a:blip r:embed="rId30">
          <a:lum/>
        </a:blip>
        <a:stretch>
          <a:fillRect/>
        </a:stretch>
      </xdr:blipFill>
      <xdr:spPr>
        <a:xfrm>
          <a:off x="123825" y="49371250"/>
          <a:ext cx="1609725" cy="1533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190500</xdr:colOff>
      <xdr:row>72</xdr:row>
      <xdr:rowOff>19050</xdr:rowOff>
    </xdr:from>
    <xdr:to>
      <xdr:col>0</xdr:col>
      <xdr:colOff>1552575</xdr:colOff>
      <xdr:row>75</xdr:row>
      <xdr:rowOff>200025</xdr:rowOff>
    </xdr:to>
    <xdr:pic>
      <xdr:nvPicPr>
        <xdr:cNvPr id="6180" name="图片 36"/>
        <xdr:cNvPicPr>
          <a:picLocks noChangeAspect="1"/>
        </xdr:cNvPicPr>
      </xdr:nvPicPr>
      <xdr:blipFill>
        <a:blip r:embed="rId31">
          <a:lum/>
        </a:blip>
        <a:stretch>
          <a:fillRect/>
        </a:stretch>
      </xdr:blipFill>
      <xdr:spPr>
        <a:xfrm>
          <a:off x="190500" y="32162750"/>
          <a:ext cx="1362075" cy="1323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0</xdr:colOff>
      <xdr:row>68</xdr:row>
      <xdr:rowOff>38100</xdr:rowOff>
    </xdr:from>
    <xdr:to>
      <xdr:col>12</xdr:col>
      <xdr:colOff>352425</xdr:colOff>
      <xdr:row>72</xdr:row>
      <xdr:rowOff>136525</xdr:rowOff>
    </xdr:to>
    <xdr:pic>
      <xdr:nvPicPr>
        <xdr:cNvPr id="6181" name="图片 37"/>
        <xdr:cNvPicPr>
          <a:picLocks noChangeAspect="1"/>
        </xdr:cNvPicPr>
      </xdr:nvPicPr>
      <xdr:blipFill>
        <a:blip r:embed="rId32">
          <a:lum/>
        </a:blip>
        <a:stretch>
          <a:fillRect/>
        </a:stretch>
      </xdr:blipFill>
      <xdr:spPr>
        <a:xfrm>
          <a:off x="12477750" y="30657800"/>
          <a:ext cx="1724025" cy="1622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152400</xdr:colOff>
      <xdr:row>91</xdr:row>
      <xdr:rowOff>266700</xdr:rowOff>
    </xdr:from>
    <xdr:to>
      <xdr:col>0</xdr:col>
      <xdr:colOff>1485900</xdr:colOff>
      <xdr:row>95</xdr:row>
      <xdr:rowOff>85725</xdr:rowOff>
    </xdr:to>
    <xdr:pic>
      <xdr:nvPicPr>
        <xdr:cNvPr id="6182" name="图片 38"/>
        <xdr:cNvPicPr>
          <a:picLocks noChangeAspect="1"/>
        </xdr:cNvPicPr>
      </xdr:nvPicPr>
      <xdr:blipFill>
        <a:blip r:embed="rId33">
          <a:lum/>
        </a:blip>
        <a:stretch>
          <a:fillRect/>
        </a:stretch>
      </xdr:blipFill>
      <xdr:spPr>
        <a:xfrm>
          <a:off x="152400" y="39700200"/>
          <a:ext cx="1333500" cy="1292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209550</xdr:colOff>
      <xdr:row>88</xdr:row>
      <xdr:rowOff>57150</xdr:rowOff>
    </xdr:from>
    <xdr:to>
      <xdr:col>0</xdr:col>
      <xdr:colOff>1514475</xdr:colOff>
      <xdr:row>91</xdr:row>
      <xdr:rowOff>180975</xdr:rowOff>
    </xdr:to>
    <xdr:pic>
      <xdr:nvPicPr>
        <xdr:cNvPr id="6183" name="图片 39"/>
        <xdr:cNvPicPr>
          <a:picLocks noChangeAspect="1"/>
        </xdr:cNvPicPr>
      </xdr:nvPicPr>
      <xdr:blipFill>
        <a:blip r:embed="rId34">
          <a:lum/>
        </a:blip>
        <a:stretch>
          <a:fillRect/>
        </a:stretch>
      </xdr:blipFill>
      <xdr:spPr>
        <a:xfrm>
          <a:off x="209550" y="38385750"/>
          <a:ext cx="1304925" cy="1228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133350</xdr:colOff>
      <xdr:row>85</xdr:row>
      <xdr:rowOff>85725</xdr:rowOff>
    </xdr:from>
    <xdr:to>
      <xdr:col>0</xdr:col>
      <xdr:colOff>1590675</xdr:colOff>
      <xdr:row>87</xdr:row>
      <xdr:rowOff>476250</xdr:rowOff>
    </xdr:to>
    <xdr:pic>
      <xdr:nvPicPr>
        <xdr:cNvPr id="6184" name="图片 40"/>
        <xdr:cNvPicPr>
          <a:picLocks noChangeAspect="1"/>
        </xdr:cNvPicPr>
      </xdr:nvPicPr>
      <xdr:blipFill>
        <a:blip r:embed="rId35">
          <a:lum/>
        </a:blip>
        <a:stretch>
          <a:fillRect/>
        </a:stretch>
      </xdr:blipFill>
      <xdr:spPr>
        <a:xfrm>
          <a:off x="133350" y="36814125"/>
          <a:ext cx="1457325" cy="1457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0</xdr:colOff>
      <xdr:row>10</xdr:row>
      <xdr:rowOff>95250</xdr:rowOff>
    </xdr:from>
    <xdr:to>
      <xdr:col>11</xdr:col>
      <xdr:colOff>590550</xdr:colOff>
      <xdr:row>12</xdr:row>
      <xdr:rowOff>371475</xdr:rowOff>
    </xdr:to>
    <xdr:pic>
      <xdr:nvPicPr>
        <xdr:cNvPr id="6185" name="图片 41"/>
        <xdr:cNvPicPr>
          <a:picLocks noChangeAspect="1"/>
        </xdr:cNvPicPr>
      </xdr:nvPicPr>
      <xdr:blipFill>
        <a:blip r:embed="rId36">
          <a:lum/>
        </a:blip>
        <a:stretch>
          <a:fillRect/>
        </a:stretch>
      </xdr:blipFill>
      <xdr:spPr>
        <a:xfrm>
          <a:off x="12477750" y="4527550"/>
          <a:ext cx="1276350" cy="1266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209550</xdr:colOff>
      <xdr:row>10</xdr:row>
      <xdr:rowOff>76200</xdr:rowOff>
    </xdr:from>
    <xdr:to>
      <xdr:col>0</xdr:col>
      <xdr:colOff>1533525</xdr:colOff>
      <xdr:row>12</xdr:row>
      <xdr:rowOff>400050</xdr:rowOff>
    </xdr:to>
    <xdr:pic>
      <xdr:nvPicPr>
        <xdr:cNvPr id="6186" name="图片 42"/>
        <xdr:cNvPicPr>
          <a:picLocks noChangeAspect="1"/>
        </xdr:cNvPicPr>
      </xdr:nvPicPr>
      <xdr:blipFill>
        <a:blip r:embed="rId37">
          <a:lum/>
        </a:blip>
        <a:stretch>
          <a:fillRect/>
        </a:stretch>
      </xdr:blipFill>
      <xdr:spPr>
        <a:xfrm>
          <a:off x="209550" y="4508500"/>
          <a:ext cx="1323975" cy="1314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133350</xdr:colOff>
      <xdr:row>25</xdr:row>
      <xdr:rowOff>85725</xdr:rowOff>
    </xdr:from>
    <xdr:to>
      <xdr:col>0</xdr:col>
      <xdr:colOff>1552575</xdr:colOff>
      <xdr:row>27</xdr:row>
      <xdr:rowOff>457200</xdr:rowOff>
    </xdr:to>
    <xdr:pic>
      <xdr:nvPicPr>
        <xdr:cNvPr id="6187" name="图片 43"/>
        <xdr:cNvPicPr>
          <a:picLocks noChangeAspect="1"/>
        </xdr:cNvPicPr>
      </xdr:nvPicPr>
      <xdr:blipFill>
        <a:blip r:embed="rId38">
          <a:lum/>
        </a:blip>
        <a:stretch>
          <a:fillRect/>
        </a:stretch>
      </xdr:blipFill>
      <xdr:spPr>
        <a:xfrm>
          <a:off x="133350" y="12747625"/>
          <a:ext cx="1419225" cy="1387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114300</xdr:colOff>
      <xdr:row>37</xdr:row>
      <xdr:rowOff>19050</xdr:rowOff>
    </xdr:from>
    <xdr:to>
      <xdr:col>0</xdr:col>
      <xdr:colOff>1657985</xdr:colOff>
      <xdr:row>41</xdr:row>
      <xdr:rowOff>12065</xdr:rowOff>
    </xdr:to>
    <xdr:pic>
      <xdr:nvPicPr>
        <xdr:cNvPr id="2" name="图片 1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114300" y="18637250"/>
          <a:ext cx="1543685" cy="1364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76200</xdr:colOff>
      <xdr:row>41</xdr:row>
      <xdr:rowOff>47625</xdr:rowOff>
    </xdr:from>
    <xdr:to>
      <xdr:col>0</xdr:col>
      <xdr:colOff>1685925</xdr:colOff>
      <xdr:row>45</xdr:row>
      <xdr:rowOff>36830</xdr:rowOff>
    </xdr:to>
    <xdr:pic>
      <xdr:nvPicPr>
        <xdr:cNvPr id="3" name="图片 2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76200" y="20037425"/>
          <a:ext cx="1609725" cy="13608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104775</xdr:colOff>
      <xdr:row>28</xdr:row>
      <xdr:rowOff>155575</xdr:rowOff>
    </xdr:from>
    <xdr:to>
      <xdr:col>0</xdr:col>
      <xdr:colOff>1647825</xdr:colOff>
      <xdr:row>31</xdr:row>
      <xdr:rowOff>186690</xdr:rowOff>
    </xdr:to>
    <xdr:pic>
      <xdr:nvPicPr>
        <xdr:cNvPr id="4" name="图片 3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104775" y="14341475"/>
          <a:ext cx="1543050" cy="13646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153035</xdr:colOff>
      <xdr:row>32</xdr:row>
      <xdr:rowOff>37465</xdr:rowOff>
    </xdr:from>
    <xdr:to>
      <xdr:col>0</xdr:col>
      <xdr:colOff>1483995</xdr:colOff>
      <xdr:row>34</xdr:row>
      <xdr:rowOff>384810</xdr:rowOff>
    </xdr:to>
    <xdr:pic>
      <xdr:nvPicPr>
        <xdr:cNvPr id="5" name="图片 4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153035" y="16001365"/>
          <a:ext cx="1330960" cy="1185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66675</xdr:colOff>
      <xdr:row>81</xdr:row>
      <xdr:rowOff>30480</xdr:rowOff>
    </xdr:from>
    <xdr:to>
      <xdr:col>0</xdr:col>
      <xdr:colOff>1638935</xdr:colOff>
      <xdr:row>84</xdr:row>
      <xdr:rowOff>348615</xdr:rowOff>
    </xdr:to>
    <xdr:pic>
      <xdr:nvPicPr>
        <xdr:cNvPr id="6" name="图片 5"/>
        <xdr:cNvPicPr>
          <a:picLocks noChangeAspect="1"/>
        </xdr:cNvPicPr>
      </xdr:nvPicPr>
      <xdr:blipFill>
        <a:blip r:embed="rId43"/>
        <a:srcRect l="8399" r="9791" b="569"/>
        <a:stretch>
          <a:fillRect/>
        </a:stretch>
      </xdr:blipFill>
      <xdr:spPr>
        <a:xfrm>
          <a:off x="66675" y="35285680"/>
          <a:ext cx="1572260" cy="1423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76200</xdr:colOff>
      <xdr:row>59</xdr:row>
      <xdr:rowOff>27940</xdr:rowOff>
    </xdr:from>
    <xdr:to>
      <xdr:col>0</xdr:col>
      <xdr:colOff>1596390</xdr:colOff>
      <xdr:row>62</xdr:row>
      <xdr:rowOff>266700</xdr:rowOff>
    </xdr:to>
    <xdr:pic>
      <xdr:nvPicPr>
        <xdr:cNvPr id="7" name="图片 6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76200" y="27447240"/>
          <a:ext cx="1520190" cy="1305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94615</xdr:colOff>
      <xdr:row>45</xdr:row>
      <xdr:rowOff>109855</xdr:rowOff>
    </xdr:from>
    <xdr:to>
      <xdr:col>0</xdr:col>
      <xdr:colOff>1704975</xdr:colOff>
      <xdr:row>49</xdr:row>
      <xdr:rowOff>184150</xdr:rowOff>
    </xdr:to>
    <xdr:pic>
      <xdr:nvPicPr>
        <xdr:cNvPr id="8" name="图片 7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94615" y="21471255"/>
          <a:ext cx="1610360" cy="1445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161925</xdr:colOff>
      <xdr:row>52</xdr:row>
      <xdr:rowOff>26670</xdr:rowOff>
    </xdr:from>
    <xdr:to>
      <xdr:col>0</xdr:col>
      <xdr:colOff>1614805</xdr:colOff>
      <xdr:row>54</xdr:row>
      <xdr:rowOff>367665</xdr:rowOff>
    </xdr:to>
    <xdr:pic>
      <xdr:nvPicPr>
        <xdr:cNvPr id="9" name="图片 8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161925" y="24651970"/>
          <a:ext cx="1452880" cy="125539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180975</xdr:colOff>
      <xdr:row>72</xdr:row>
      <xdr:rowOff>51435</xdr:rowOff>
    </xdr:from>
    <xdr:to>
      <xdr:col>0</xdr:col>
      <xdr:colOff>1485900</xdr:colOff>
      <xdr:row>73</xdr:row>
      <xdr:rowOff>666115</xdr:rowOff>
    </xdr:to>
    <xdr:pic>
      <xdr:nvPicPr>
        <xdr:cNvPr id="7171" name="图片 5" descr="7cc3db04836b69550ae320fd541dfd2"/>
        <xdr:cNvPicPr>
          <a:picLocks noChangeAspect="1"/>
        </xdr:cNvPicPr>
      </xdr:nvPicPr>
      <xdr:blipFill>
        <a:blip r:embed="rId1">
          <a:lum/>
        </a:blip>
        <a:stretch>
          <a:fillRect/>
        </a:stretch>
      </xdr:blipFill>
      <xdr:spPr>
        <a:xfrm>
          <a:off x="180975" y="20549235"/>
          <a:ext cx="1304925" cy="1313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47625</xdr:colOff>
      <xdr:row>156</xdr:row>
      <xdr:rowOff>85725</xdr:rowOff>
    </xdr:from>
    <xdr:to>
      <xdr:col>0</xdr:col>
      <xdr:colOff>1590675</xdr:colOff>
      <xdr:row>157</xdr:row>
      <xdr:rowOff>676275</xdr:rowOff>
    </xdr:to>
    <xdr:pic>
      <xdr:nvPicPr>
        <xdr:cNvPr id="7173" name="图片 20"/>
        <xdr:cNvPicPr>
          <a:picLocks noChangeAspect="1"/>
        </xdr:cNvPicPr>
      </xdr:nvPicPr>
      <xdr:blipFill>
        <a:blip r:embed="rId2">
          <a:lum/>
        </a:blip>
        <a:stretch>
          <a:fillRect/>
        </a:stretch>
      </xdr:blipFill>
      <xdr:spPr>
        <a:xfrm>
          <a:off x="47625" y="57324625"/>
          <a:ext cx="1543050" cy="147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47625</xdr:colOff>
      <xdr:row>152</xdr:row>
      <xdr:rowOff>76200</xdr:rowOff>
    </xdr:from>
    <xdr:to>
      <xdr:col>0</xdr:col>
      <xdr:colOff>1704975</xdr:colOff>
      <xdr:row>155</xdr:row>
      <xdr:rowOff>323850</xdr:rowOff>
    </xdr:to>
    <xdr:pic>
      <xdr:nvPicPr>
        <xdr:cNvPr id="7175" name="图片 30" descr="C:/Users/Administrator/AppData/Local/Temp/picturecompress_20211207101509/output_40.pngoutput_40"/>
        <xdr:cNvPicPr>
          <a:picLocks noChangeAspect="1"/>
        </xdr:cNvPicPr>
      </xdr:nvPicPr>
      <xdr:blipFill>
        <a:blip r:embed="rId3">
          <a:lum/>
        </a:blip>
        <a:stretch>
          <a:fillRect/>
        </a:stretch>
      </xdr:blipFill>
      <xdr:spPr>
        <a:xfrm>
          <a:off x="47625" y="55689500"/>
          <a:ext cx="1657350" cy="1466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76200</xdr:colOff>
      <xdr:row>130</xdr:row>
      <xdr:rowOff>66675</xdr:rowOff>
    </xdr:from>
    <xdr:to>
      <xdr:col>0</xdr:col>
      <xdr:colOff>1552575</xdr:colOff>
      <xdr:row>133</xdr:row>
      <xdr:rowOff>209550</xdr:rowOff>
    </xdr:to>
    <xdr:pic>
      <xdr:nvPicPr>
        <xdr:cNvPr id="7177" name="图片 13" descr="1649398762(1)"/>
        <xdr:cNvPicPr>
          <a:picLocks noChangeAspect="1"/>
        </xdr:cNvPicPr>
      </xdr:nvPicPr>
      <xdr:blipFill>
        <a:blip r:embed="rId4">
          <a:lum/>
        </a:blip>
        <a:stretch>
          <a:fillRect/>
        </a:stretch>
      </xdr:blipFill>
      <xdr:spPr>
        <a:xfrm>
          <a:off x="76200" y="47805975"/>
          <a:ext cx="1476375" cy="1400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114300</xdr:colOff>
      <xdr:row>104</xdr:row>
      <xdr:rowOff>57150</xdr:rowOff>
    </xdr:from>
    <xdr:to>
      <xdr:col>0</xdr:col>
      <xdr:colOff>1619250</xdr:colOff>
      <xdr:row>107</xdr:row>
      <xdr:rowOff>219075</xdr:rowOff>
    </xdr:to>
    <xdr:pic>
      <xdr:nvPicPr>
        <xdr:cNvPr id="7178" name="图片 32" descr="1649398822(1)"/>
        <xdr:cNvPicPr>
          <a:picLocks noChangeAspect="1"/>
        </xdr:cNvPicPr>
      </xdr:nvPicPr>
      <xdr:blipFill>
        <a:blip r:embed="rId5">
          <a:lum/>
        </a:blip>
        <a:stretch>
          <a:fillRect/>
        </a:stretch>
      </xdr:blipFill>
      <xdr:spPr>
        <a:xfrm>
          <a:off x="114300" y="32467550"/>
          <a:ext cx="1504950" cy="1419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95885</xdr:colOff>
      <xdr:row>2</xdr:row>
      <xdr:rowOff>42545</xdr:rowOff>
    </xdr:from>
    <xdr:to>
      <xdr:col>0</xdr:col>
      <xdr:colOff>1696085</xdr:colOff>
      <xdr:row>8</xdr:row>
      <xdr:rowOff>137795</xdr:rowOff>
    </xdr:to>
    <xdr:pic>
      <xdr:nvPicPr>
        <xdr:cNvPr id="7182" name="图片 37" descr="1649399809(1)"/>
        <xdr:cNvPicPr>
          <a:picLocks noChangeAspect="1"/>
        </xdr:cNvPicPr>
      </xdr:nvPicPr>
      <xdr:blipFill>
        <a:blip r:embed="rId6">
          <a:lum/>
        </a:blip>
        <a:stretch>
          <a:fillRect/>
        </a:stretch>
      </xdr:blipFill>
      <xdr:spPr>
        <a:xfrm>
          <a:off x="95885" y="1579245"/>
          <a:ext cx="1600200" cy="1543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114300</xdr:colOff>
      <xdr:row>158</xdr:row>
      <xdr:rowOff>38100</xdr:rowOff>
    </xdr:from>
    <xdr:to>
      <xdr:col>0</xdr:col>
      <xdr:colOff>1590675</xdr:colOff>
      <xdr:row>161</xdr:row>
      <xdr:rowOff>323850</xdr:rowOff>
    </xdr:to>
    <xdr:pic>
      <xdr:nvPicPr>
        <xdr:cNvPr id="7185" name="图片 42" descr="1649400156(1)"/>
        <xdr:cNvPicPr>
          <a:picLocks noChangeAspect="1"/>
        </xdr:cNvPicPr>
      </xdr:nvPicPr>
      <xdr:blipFill>
        <a:blip r:embed="rId7">
          <a:lum/>
        </a:blip>
        <a:stretch>
          <a:fillRect/>
        </a:stretch>
      </xdr:blipFill>
      <xdr:spPr>
        <a:xfrm>
          <a:off x="114300" y="58953400"/>
          <a:ext cx="1476375" cy="1428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95250</xdr:colOff>
      <xdr:row>128</xdr:row>
      <xdr:rowOff>66675</xdr:rowOff>
    </xdr:from>
    <xdr:to>
      <xdr:col>0</xdr:col>
      <xdr:colOff>1543050</xdr:colOff>
      <xdr:row>129</xdr:row>
      <xdr:rowOff>742950</xdr:rowOff>
    </xdr:to>
    <xdr:pic>
      <xdr:nvPicPr>
        <xdr:cNvPr id="7187" name="图片 7" descr="cdd21b208388989a8e82fb5f075453c"/>
        <xdr:cNvPicPr>
          <a:picLocks noChangeAspect="1"/>
        </xdr:cNvPicPr>
      </xdr:nvPicPr>
      <xdr:blipFill>
        <a:blip r:embed="rId8">
          <a:lum/>
        </a:blip>
        <a:srcRect l="7658" r="11626"/>
        <a:stretch>
          <a:fillRect/>
        </a:stretch>
      </xdr:blipFill>
      <xdr:spPr>
        <a:xfrm>
          <a:off x="95250" y="46370875"/>
          <a:ext cx="1447800" cy="1349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171450</xdr:colOff>
      <xdr:row>164</xdr:row>
      <xdr:rowOff>19050</xdr:rowOff>
    </xdr:from>
    <xdr:to>
      <xdr:col>0</xdr:col>
      <xdr:colOff>1533525</xdr:colOff>
      <xdr:row>165</xdr:row>
      <xdr:rowOff>657225</xdr:rowOff>
    </xdr:to>
    <xdr:pic>
      <xdr:nvPicPr>
        <xdr:cNvPr id="7190" name="图片 11"/>
        <xdr:cNvPicPr>
          <a:picLocks noChangeAspect="1"/>
        </xdr:cNvPicPr>
      </xdr:nvPicPr>
      <xdr:blipFill>
        <a:blip r:embed="rId9">
          <a:lum/>
        </a:blip>
        <a:stretch>
          <a:fillRect/>
        </a:stretch>
      </xdr:blipFill>
      <xdr:spPr>
        <a:xfrm>
          <a:off x="171450" y="61906150"/>
          <a:ext cx="1362075" cy="1323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123825</xdr:colOff>
      <xdr:row>108</xdr:row>
      <xdr:rowOff>47625</xdr:rowOff>
    </xdr:from>
    <xdr:to>
      <xdr:col>0</xdr:col>
      <xdr:colOff>1552575</xdr:colOff>
      <xdr:row>109</xdr:row>
      <xdr:rowOff>685800</xdr:rowOff>
    </xdr:to>
    <xdr:pic>
      <xdr:nvPicPr>
        <xdr:cNvPr id="7191" name="图片 22"/>
        <xdr:cNvPicPr>
          <a:picLocks noChangeAspect="1"/>
        </xdr:cNvPicPr>
      </xdr:nvPicPr>
      <xdr:blipFill>
        <a:blip r:embed="rId10">
          <a:lum/>
        </a:blip>
        <a:stretch>
          <a:fillRect/>
        </a:stretch>
      </xdr:blipFill>
      <xdr:spPr>
        <a:xfrm>
          <a:off x="123825" y="34134425"/>
          <a:ext cx="1428750" cy="1400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213995</xdr:colOff>
      <xdr:row>70</xdr:row>
      <xdr:rowOff>37465</xdr:rowOff>
    </xdr:from>
    <xdr:to>
      <xdr:col>0</xdr:col>
      <xdr:colOff>1623695</xdr:colOff>
      <xdr:row>71</xdr:row>
      <xdr:rowOff>675640</xdr:rowOff>
    </xdr:to>
    <xdr:pic>
      <xdr:nvPicPr>
        <xdr:cNvPr id="7193" name="图片 29"/>
        <xdr:cNvPicPr>
          <a:picLocks noChangeAspect="1"/>
        </xdr:cNvPicPr>
      </xdr:nvPicPr>
      <xdr:blipFill>
        <a:blip r:embed="rId11">
          <a:lum/>
        </a:blip>
        <a:stretch>
          <a:fillRect/>
        </a:stretch>
      </xdr:blipFill>
      <xdr:spPr>
        <a:xfrm>
          <a:off x="213995" y="19087465"/>
          <a:ext cx="1409700" cy="1362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147955</xdr:colOff>
      <xdr:row>46</xdr:row>
      <xdr:rowOff>200660</xdr:rowOff>
    </xdr:from>
    <xdr:to>
      <xdr:col>0</xdr:col>
      <xdr:colOff>1691005</xdr:colOff>
      <xdr:row>52</xdr:row>
      <xdr:rowOff>104140</xdr:rowOff>
    </xdr:to>
    <xdr:pic>
      <xdr:nvPicPr>
        <xdr:cNvPr id="7194" name="图片 24"/>
        <xdr:cNvPicPr>
          <a:picLocks noChangeAspect="1"/>
        </xdr:cNvPicPr>
      </xdr:nvPicPr>
      <xdr:blipFill>
        <a:blip r:embed="rId12">
          <a:lum/>
        </a:blip>
        <a:stretch>
          <a:fillRect/>
        </a:stretch>
      </xdr:blipFill>
      <xdr:spPr>
        <a:xfrm>
          <a:off x="147955" y="12849860"/>
          <a:ext cx="1543050" cy="15036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84455</xdr:colOff>
      <xdr:row>40</xdr:row>
      <xdr:rowOff>208280</xdr:rowOff>
    </xdr:from>
    <xdr:to>
      <xdr:col>0</xdr:col>
      <xdr:colOff>1665605</xdr:colOff>
      <xdr:row>46</xdr:row>
      <xdr:rowOff>141605</xdr:rowOff>
    </xdr:to>
    <xdr:pic>
      <xdr:nvPicPr>
        <xdr:cNvPr id="7195" name="图片 44"/>
        <xdr:cNvPicPr>
          <a:picLocks noChangeAspect="1"/>
        </xdr:cNvPicPr>
      </xdr:nvPicPr>
      <xdr:blipFill>
        <a:blip r:embed="rId13">
          <a:lum/>
        </a:blip>
        <a:stretch>
          <a:fillRect/>
        </a:stretch>
      </xdr:blipFill>
      <xdr:spPr>
        <a:xfrm>
          <a:off x="84455" y="11257280"/>
          <a:ext cx="1581150" cy="1533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85725</xdr:colOff>
      <xdr:row>162</xdr:row>
      <xdr:rowOff>38100</xdr:rowOff>
    </xdr:from>
    <xdr:to>
      <xdr:col>0</xdr:col>
      <xdr:colOff>1600200</xdr:colOff>
      <xdr:row>163</xdr:row>
      <xdr:rowOff>647700</xdr:rowOff>
    </xdr:to>
    <xdr:pic>
      <xdr:nvPicPr>
        <xdr:cNvPr id="7197" name="图片 43"/>
        <xdr:cNvPicPr>
          <a:picLocks noChangeAspect="1"/>
        </xdr:cNvPicPr>
      </xdr:nvPicPr>
      <xdr:blipFill>
        <a:blip r:embed="rId14">
          <a:lum/>
        </a:blip>
        <a:srcRect l="6950" r="6757"/>
        <a:stretch>
          <a:fillRect/>
        </a:stretch>
      </xdr:blipFill>
      <xdr:spPr>
        <a:xfrm>
          <a:off x="85725" y="60477400"/>
          <a:ext cx="1514475" cy="1333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925195</xdr:colOff>
      <xdr:row>0</xdr:row>
      <xdr:rowOff>38100</xdr:rowOff>
    </xdr:from>
    <xdr:to>
      <xdr:col>5</xdr:col>
      <xdr:colOff>582295</xdr:colOff>
      <xdr:row>0</xdr:row>
      <xdr:rowOff>1114425</xdr:rowOff>
    </xdr:to>
    <xdr:pic>
      <xdr:nvPicPr>
        <xdr:cNvPr id="7198" name="图片 28"/>
        <xdr:cNvPicPr>
          <a:picLocks noChangeAspect="1"/>
        </xdr:cNvPicPr>
      </xdr:nvPicPr>
      <xdr:blipFill>
        <a:blip r:embed="rId15">
          <a:lum/>
        </a:blip>
        <a:stretch>
          <a:fillRect/>
        </a:stretch>
      </xdr:blipFill>
      <xdr:spPr>
        <a:xfrm>
          <a:off x="5514340" y="38100"/>
          <a:ext cx="1695450" cy="1076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183515</xdr:colOff>
      <xdr:row>123</xdr:row>
      <xdr:rowOff>207645</xdr:rowOff>
    </xdr:from>
    <xdr:to>
      <xdr:col>0</xdr:col>
      <xdr:colOff>1621790</xdr:colOff>
      <xdr:row>125</xdr:row>
      <xdr:rowOff>423545</xdr:rowOff>
    </xdr:to>
    <xdr:pic>
      <xdr:nvPicPr>
        <xdr:cNvPr id="7199" name="图片 48"/>
        <xdr:cNvPicPr>
          <a:picLocks noChangeAspect="1"/>
        </xdr:cNvPicPr>
      </xdr:nvPicPr>
      <xdr:blipFill>
        <a:blip r:embed="rId16">
          <a:lum/>
        </a:blip>
        <a:stretch>
          <a:fillRect/>
        </a:stretch>
      </xdr:blipFill>
      <xdr:spPr>
        <a:xfrm>
          <a:off x="183515" y="43578145"/>
          <a:ext cx="1438275" cy="1257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186055</xdr:colOff>
      <xdr:row>120</xdr:row>
      <xdr:rowOff>499110</xdr:rowOff>
    </xdr:from>
    <xdr:to>
      <xdr:col>0</xdr:col>
      <xdr:colOff>1589405</xdr:colOff>
      <xdr:row>123</xdr:row>
      <xdr:rowOff>125095</xdr:rowOff>
    </xdr:to>
    <xdr:pic>
      <xdr:nvPicPr>
        <xdr:cNvPr id="7201" name="图片 47"/>
        <xdr:cNvPicPr>
          <a:picLocks noChangeAspect="1"/>
        </xdr:cNvPicPr>
      </xdr:nvPicPr>
      <xdr:blipFill>
        <a:blip r:embed="rId17">
          <a:lum/>
        </a:blip>
        <a:srcRect l="3028" t="2256" r="6136" b="2256"/>
        <a:stretch>
          <a:fillRect/>
        </a:stretch>
      </xdr:blipFill>
      <xdr:spPr>
        <a:xfrm>
          <a:off x="186055" y="42307510"/>
          <a:ext cx="1403350" cy="1188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142240</xdr:colOff>
      <xdr:row>14</xdr:row>
      <xdr:rowOff>26670</xdr:rowOff>
    </xdr:from>
    <xdr:to>
      <xdr:col>0</xdr:col>
      <xdr:colOff>1597660</xdr:colOff>
      <xdr:row>19</xdr:row>
      <xdr:rowOff>193675</xdr:rowOff>
    </xdr:to>
    <xdr:pic>
      <xdr:nvPicPr>
        <xdr:cNvPr id="7203" name="图片 35"/>
        <xdr:cNvPicPr>
          <a:picLocks noChangeAspect="1"/>
        </xdr:cNvPicPr>
      </xdr:nvPicPr>
      <xdr:blipFill>
        <a:blip r:embed="rId18">
          <a:lum/>
        </a:blip>
        <a:stretch>
          <a:fillRect/>
        </a:stretch>
      </xdr:blipFill>
      <xdr:spPr>
        <a:xfrm>
          <a:off x="142240" y="4458970"/>
          <a:ext cx="1455420" cy="14370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76200</xdr:colOff>
      <xdr:row>138</xdr:row>
      <xdr:rowOff>30480</xdr:rowOff>
    </xdr:from>
    <xdr:to>
      <xdr:col>0</xdr:col>
      <xdr:colOff>1530985</xdr:colOff>
      <xdr:row>142</xdr:row>
      <xdr:rowOff>220980</xdr:rowOff>
    </xdr:to>
    <xdr:pic>
      <xdr:nvPicPr>
        <xdr:cNvPr id="7204" name="图片 36"/>
        <xdr:cNvPicPr>
          <a:picLocks noChangeAspect="1"/>
        </xdr:cNvPicPr>
      </xdr:nvPicPr>
      <xdr:blipFill>
        <a:blip r:embed="rId19">
          <a:lum/>
        </a:blip>
        <a:stretch>
          <a:fillRect/>
        </a:stretch>
      </xdr:blipFill>
      <xdr:spPr>
        <a:xfrm>
          <a:off x="76200" y="50919380"/>
          <a:ext cx="1454785" cy="1409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47625</xdr:colOff>
      <xdr:row>142</xdr:row>
      <xdr:rowOff>248920</xdr:rowOff>
    </xdr:from>
    <xdr:to>
      <xdr:col>0</xdr:col>
      <xdr:colOff>1522095</xdr:colOff>
      <xdr:row>147</xdr:row>
      <xdr:rowOff>173355</xdr:rowOff>
    </xdr:to>
    <xdr:pic>
      <xdr:nvPicPr>
        <xdr:cNvPr id="7205" name="图片 37"/>
        <xdr:cNvPicPr>
          <a:picLocks noChangeAspect="1"/>
        </xdr:cNvPicPr>
      </xdr:nvPicPr>
      <xdr:blipFill>
        <a:blip r:embed="rId20">
          <a:lum/>
        </a:blip>
        <a:stretch>
          <a:fillRect/>
        </a:stretch>
      </xdr:blipFill>
      <xdr:spPr>
        <a:xfrm>
          <a:off x="47625" y="52357020"/>
          <a:ext cx="1474470" cy="1448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66675</xdr:colOff>
      <xdr:row>148</xdr:row>
      <xdr:rowOff>19050</xdr:rowOff>
    </xdr:from>
    <xdr:to>
      <xdr:col>0</xdr:col>
      <xdr:colOff>1533525</xdr:colOff>
      <xdr:row>151</xdr:row>
      <xdr:rowOff>209550</xdr:rowOff>
    </xdr:to>
    <xdr:pic>
      <xdr:nvPicPr>
        <xdr:cNvPr id="7206" name="图片 38"/>
        <xdr:cNvPicPr>
          <a:picLocks noChangeAspect="1"/>
        </xdr:cNvPicPr>
      </xdr:nvPicPr>
      <xdr:blipFill>
        <a:blip r:embed="rId21">
          <a:lum/>
        </a:blip>
        <a:stretch>
          <a:fillRect/>
        </a:stretch>
      </xdr:blipFill>
      <xdr:spPr>
        <a:xfrm>
          <a:off x="66675" y="53955950"/>
          <a:ext cx="1466850" cy="1447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200025</xdr:colOff>
      <xdr:row>126</xdr:row>
      <xdr:rowOff>19050</xdr:rowOff>
    </xdr:from>
    <xdr:to>
      <xdr:col>0</xdr:col>
      <xdr:colOff>1514475</xdr:colOff>
      <xdr:row>127</xdr:row>
      <xdr:rowOff>628650</xdr:rowOff>
    </xdr:to>
    <xdr:pic>
      <xdr:nvPicPr>
        <xdr:cNvPr id="7208" name="图片 40"/>
        <xdr:cNvPicPr>
          <a:picLocks noChangeAspect="1"/>
        </xdr:cNvPicPr>
      </xdr:nvPicPr>
      <xdr:blipFill>
        <a:blip r:embed="rId22">
          <a:lum/>
        </a:blip>
        <a:stretch>
          <a:fillRect/>
        </a:stretch>
      </xdr:blipFill>
      <xdr:spPr>
        <a:xfrm>
          <a:off x="200025" y="44951650"/>
          <a:ext cx="1314450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117475</xdr:colOff>
      <xdr:row>100</xdr:row>
      <xdr:rowOff>33655</xdr:rowOff>
    </xdr:from>
    <xdr:to>
      <xdr:col>0</xdr:col>
      <xdr:colOff>1612900</xdr:colOff>
      <xdr:row>101</xdr:row>
      <xdr:rowOff>681355</xdr:rowOff>
    </xdr:to>
    <xdr:pic>
      <xdr:nvPicPr>
        <xdr:cNvPr id="7209" name="图片 41"/>
        <xdr:cNvPicPr>
          <a:picLocks noChangeAspect="1"/>
        </xdr:cNvPicPr>
      </xdr:nvPicPr>
      <xdr:blipFill>
        <a:blip r:embed="rId23">
          <a:lum/>
        </a:blip>
        <a:stretch>
          <a:fillRect/>
        </a:stretch>
      </xdr:blipFill>
      <xdr:spPr>
        <a:xfrm>
          <a:off x="117475" y="29472255"/>
          <a:ext cx="1495425" cy="1409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165100</xdr:colOff>
      <xdr:row>102</xdr:row>
      <xdr:rowOff>27305</xdr:rowOff>
    </xdr:from>
    <xdr:to>
      <xdr:col>0</xdr:col>
      <xdr:colOff>1599565</xdr:colOff>
      <xdr:row>103</xdr:row>
      <xdr:rowOff>675005</xdr:rowOff>
    </xdr:to>
    <xdr:pic>
      <xdr:nvPicPr>
        <xdr:cNvPr id="4" name="图片 3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65100" y="30989905"/>
          <a:ext cx="1434465" cy="1371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127635</xdr:colOff>
      <xdr:row>94</xdr:row>
      <xdr:rowOff>0</xdr:rowOff>
    </xdr:from>
    <xdr:to>
      <xdr:col>0</xdr:col>
      <xdr:colOff>1619250</xdr:colOff>
      <xdr:row>95</xdr:row>
      <xdr:rowOff>584835</xdr:rowOff>
    </xdr:to>
    <xdr:pic>
      <xdr:nvPicPr>
        <xdr:cNvPr id="2" name="图片 1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127635" y="26492200"/>
          <a:ext cx="1491615" cy="1296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182880</xdr:colOff>
      <xdr:row>118</xdr:row>
      <xdr:rowOff>316865</xdr:rowOff>
    </xdr:from>
    <xdr:to>
      <xdr:col>0</xdr:col>
      <xdr:colOff>1579880</xdr:colOff>
      <xdr:row>120</xdr:row>
      <xdr:rowOff>482600</xdr:rowOff>
    </xdr:to>
    <xdr:pic>
      <xdr:nvPicPr>
        <xdr:cNvPr id="3" name="图片 2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82880" y="41083865"/>
          <a:ext cx="1397000" cy="1207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193675</xdr:colOff>
      <xdr:row>79</xdr:row>
      <xdr:rowOff>149860</xdr:rowOff>
    </xdr:from>
    <xdr:to>
      <xdr:col>0</xdr:col>
      <xdr:colOff>1593850</xdr:colOff>
      <xdr:row>85</xdr:row>
      <xdr:rowOff>20320</xdr:rowOff>
    </xdr:to>
    <xdr:pic>
      <xdr:nvPicPr>
        <xdr:cNvPr id="7" name="图片 6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193675" y="23187660"/>
          <a:ext cx="1400175" cy="1267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200660</xdr:colOff>
      <xdr:row>74</xdr:row>
      <xdr:rowOff>38100</xdr:rowOff>
    </xdr:from>
    <xdr:to>
      <xdr:col>0</xdr:col>
      <xdr:colOff>1581785</xdr:colOff>
      <xdr:row>79</xdr:row>
      <xdr:rowOff>130175</xdr:rowOff>
    </xdr:to>
    <xdr:pic>
      <xdr:nvPicPr>
        <xdr:cNvPr id="8" name="图片 7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200660" y="21932900"/>
          <a:ext cx="1381125" cy="1235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185420</xdr:colOff>
      <xdr:row>87</xdr:row>
      <xdr:rowOff>61595</xdr:rowOff>
    </xdr:from>
    <xdr:to>
      <xdr:col>0</xdr:col>
      <xdr:colOff>1595120</xdr:colOff>
      <xdr:row>92</xdr:row>
      <xdr:rowOff>179705</xdr:rowOff>
    </xdr:to>
    <xdr:pic>
      <xdr:nvPicPr>
        <xdr:cNvPr id="10" name="图片 9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85420" y="24953595"/>
          <a:ext cx="1409700" cy="12611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104775</xdr:colOff>
      <xdr:row>114</xdr:row>
      <xdr:rowOff>19685</xdr:rowOff>
    </xdr:from>
    <xdr:to>
      <xdr:col>0</xdr:col>
      <xdr:colOff>1572895</xdr:colOff>
      <xdr:row>115</xdr:row>
      <xdr:rowOff>666750</xdr:rowOff>
    </xdr:to>
    <xdr:pic>
      <xdr:nvPicPr>
        <xdr:cNvPr id="11" name="图片 10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04775" y="38373685"/>
          <a:ext cx="1468120" cy="13328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123190</xdr:colOff>
      <xdr:row>112</xdr:row>
      <xdr:rowOff>5080</xdr:rowOff>
    </xdr:from>
    <xdr:to>
      <xdr:col>0</xdr:col>
      <xdr:colOff>1553845</xdr:colOff>
      <xdr:row>113</xdr:row>
      <xdr:rowOff>676910</xdr:rowOff>
    </xdr:to>
    <xdr:pic>
      <xdr:nvPicPr>
        <xdr:cNvPr id="12" name="图片 11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23190" y="36987480"/>
          <a:ext cx="1430655" cy="1357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153035</xdr:colOff>
      <xdr:row>110</xdr:row>
      <xdr:rowOff>49530</xdr:rowOff>
    </xdr:from>
    <xdr:to>
      <xdr:col>0</xdr:col>
      <xdr:colOff>1530350</xdr:colOff>
      <xdr:row>111</xdr:row>
      <xdr:rowOff>676275</xdr:rowOff>
    </xdr:to>
    <xdr:pic>
      <xdr:nvPicPr>
        <xdr:cNvPr id="13" name="图片 12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53035" y="35660330"/>
          <a:ext cx="1377315" cy="13125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143510</xdr:colOff>
      <xdr:row>62</xdr:row>
      <xdr:rowOff>130175</xdr:rowOff>
    </xdr:from>
    <xdr:to>
      <xdr:col>0</xdr:col>
      <xdr:colOff>1607185</xdr:colOff>
      <xdr:row>67</xdr:row>
      <xdr:rowOff>138430</xdr:rowOff>
    </xdr:to>
    <xdr:pic>
      <xdr:nvPicPr>
        <xdr:cNvPr id="15" name="图片 14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143510" y="17046575"/>
          <a:ext cx="1463675" cy="1341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142875</xdr:colOff>
      <xdr:row>57</xdr:row>
      <xdr:rowOff>104775</xdr:rowOff>
    </xdr:from>
    <xdr:to>
      <xdr:col>0</xdr:col>
      <xdr:colOff>1610995</xdr:colOff>
      <xdr:row>62</xdr:row>
      <xdr:rowOff>111125</xdr:rowOff>
    </xdr:to>
    <xdr:pic>
      <xdr:nvPicPr>
        <xdr:cNvPr id="16" name="图片 15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142875" y="15687675"/>
          <a:ext cx="1468120" cy="1339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142875</xdr:colOff>
      <xdr:row>134</xdr:row>
      <xdr:rowOff>57150</xdr:rowOff>
    </xdr:from>
    <xdr:to>
      <xdr:col>0</xdr:col>
      <xdr:colOff>1527810</xdr:colOff>
      <xdr:row>137</xdr:row>
      <xdr:rowOff>299720</xdr:rowOff>
    </xdr:to>
    <xdr:pic>
      <xdr:nvPicPr>
        <xdr:cNvPr id="17" name="图片 16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142875" y="49472850"/>
          <a:ext cx="1384935" cy="13474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160655</xdr:colOff>
      <xdr:row>116</xdr:row>
      <xdr:rowOff>27305</xdr:rowOff>
    </xdr:from>
    <xdr:to>
      <xdr:col>0</xdr:col>
      <xdr:colOff>1567815</xdr:colOff>
      <xdr:row>118</xdr:row>
      <xdr:rowOff>252730</xdr:rowOff>
    </xdr:to>
    <xdr:pic>
      <xdr:nvPicPr>
        <xdr:cNvPr id="18" name="图片 17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160655" y="39752905"/>
          <a:ext cx="1407160" cy="1266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109220</xdr:colOff>
      <xdr:row>35</xdr:row>
      <xdr:rowOff>15240</xdr:rowOff>
    </xdr:from>
    <xdr:to>
      <xdr:col>0</xdr:col>
      <xdr:colOff>1654175</xdr:colOff>
      <xdr:row>40</xdr:row>
      <xdr:rowOff>151765</xdr:rowOff>
    </xdr:to>
    <xdr:pic>
      <xdr:nvPicPr>
        <xdr:cNvPr id="5" name="图片 4"/>
        <xdr:cNvPicPr>
          <a:picLocks noChangeAspect="1"/>
        </xdr:cNvPicPr>
      </xdr:nvPicPr>
      <xdr:blipFill>
        <a:blip r:embed="rId37"/>
        <a:srcRect l="10358" r="7871"/>
        <a:stretch>
          <a:fillRect/>
        </a:stretch>
      </xdr:blipFill>
      <xdr:spPr>
        <a:xfrm>
          <a:off x="109220" y="9781540"/>
          <a:ext cx="1544955" cy="1419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83185</xdr:colOff>
      <xdr:row>96</xdr:row>
      <xdr:rowOff>0</xdr:rowOff>
    </xdr:from>
    <xdr:to>
      <xdr:col>0</xdr:col>
      <xdr:colOff>1652270</xdr:colOff>
      <xdr:row>99</xdr:row>
      <xdr:rowOff>260985</xdr:rowOff>
    </xdr:to>
    <xdr:pic>
      <xdr:nvPicPr>
        <xdr:cNvPr id="6" name="图片 5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83185" y="27914600"/>
          <a:ext cx="1569085" cy="140398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200025</xdr:colOff>
      <xdr:row>80</xdr:row>
      <xdr:rowOff>47625</xdr:rowOff>
    </xdr:from>
    <xdr:to>
      <xdr:col>0</xdr:col>
      <xdr:colOff>1552575</xdr:colOff>
      <xdr:row>81</xdr:row>
      <xdr:rowOff>676275</xdr:rowOff>
    </xdr:to>
    <xdr:pic>
      <xdr:nvPicPr>
        <xdr:cNvPr id="19458" name="Picture 4" descr="C:\Users\Administrator\Documents\Tencent Files\318975100\Image\C2C\CF6852528E625DB07D8F20267D58A524.png"/>
        <xdr:cNvPicPr>
          <a:picLocks noChangeAspect="1"/>
        </xdr:cNvPicPr>
      </xdr:nvPicPr>
      <xdr:blipFill>
        <a:blip r:embed="rId1">
          <a:lum/>
        </a:blip>
        <a:stretch>
          <a:fillRect/>
        </a:stretch>
      </xdr:blipFill>
      <xdr:spPr>
        <a:xfrm>
          <a:off x="200025" y="40763825"/>
          <a:ext cx="1352550" cy="1352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200025</xdr:colOff>
      <xdr:row>117</xdr:row>
      <xdr:rowOff>76200</xdr:rowOff>
    </xdr:from>
    <xdr:to>
      <xdr:col>0</xdr:col>
      <xdr:colOff>1543050</xdr:colOff>
      <xdr:row>117</xdr:row>
      <xdr:rowOff>1409700</xdr:rowOff>
    </xdr:to>
    <xdr:pic>
      <xdr:nvPicPr>
        <xdr:cNvPr id="16390" name="图片 7" descr="154b6ec1d8983991ef862e695f65415"/>
        <xdr:cNvPicPr>
          <a:picLocks noChangeAspect="1"/>
        </xdr:cNvPicPr>
      </xdr:nvPicPr>
      <xdr:blipFill>
        <a:blip r:embed="rId2">
          <a:lum/>
        </a:blip>
        <a:stretch>
          <a:fillRect/>
        </a:stretch>
      </xdr:blipFill>
      <xdr:spPr>
        <a:xfrm>
          <a:off x="200025" y="52438300"/>
          <a:ext cx="1343025" cy="1333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19685</xdr:colOff>
      <xdr:row>131</xdr:row>
      <xdr:rowOff>30480</xdr:rowOff>
    </xdr:from>
    <xdr:to>
      <xdr:col>0</xdr:col>
      <xdr:colOff>1543685</xdr:colOff>
      <xdr:row>131</xdr:row>
      <xdr:rowOff>1430655</xdr:rowOff>
    </xdr:to>
    <xdr:pic>
      <xdr:nvPicPr>
        <xdr:cNvPr id="16394" name="图片 11" descr="0f18aac394b69f53682e2956c796180"/>
        <xdr:cNvPicPr>
          <a:picLocks noChangeAspect="1"/>
        </xdr:cNvPicPr>
      </xdr:nvPicPr>
      <xdr:blipFill>
        <a:blip r:embed="rId3">
          <a:lum/>
        </a:blip>
        <a:stretch>
          <a:fillRect/>
        </a:stretch>
      </xdr:blipFill>
      <xdr:spPr>
        <a:xfrm>
          <a:off x="19685" y="58628280"/>
          <a:ext cx="1524000" cy="1400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85725</xdr:colOff>
      <xdr:row>136</xdr:row>
      <xdr:rowOff>85725</xdr:rowOff>
    </xdr:from>
    <xdr:to>
      <xdr:col>0</xdr:col>
      <xdr:colOff>1571625</xdr:colOff>
      <xdr:row>137</xdr:row>
      <xdr:rowOff>781050</xdr:rowOff>
    </xdr:to>
    <xdr:pic>
      <xdr:nvPicPr>
        <xdr:cNvPr id="16384" name="图片 1" descr="1598246955(1)"/>
        <xdr:cNvPicPr>
          <a:picLocks noChangeAspect="1"/>
        </xdr:cNvPicPr>
      </xdr:nvPicPr>
      <xdr:blipFill>
        <a:blip r:embed="rId4">
          <a:lum/>
        </a:blip>
        <a:stretch>
          <a:fillRect/>
        </a:stretch>
      </xdr:blipFill>
      <xdr:spPr>
        <a:xfrm>
          <a:off x="85725" y="63230125"/>
          <a:ext cx="1485900" cy="1533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12700</xdr:colOff>
      <xdr:row>156</xdr:row>
      <xdr:rowOff>108585</xdr:rowOff>
    </xdr:from>
    <xdr:to>
      <xdr:col>0</xdr:col>
      <xdr:colOff>1442085</xdr:colOff>
      <xdr:row>159</xdr:row>
      <xdr:rowOff>188595</xdr:rowOff>
    </xdr:to>
    <xdr:pic>
      <xdr:nvPicPr>
        <xdr:cNvPr id="16393" name="Picture 2054432"/>
        <xdr:cNvPicPr>
          <a:picLocks noChangeAspect="1"/>
        </xdr:cNvPicPr>
      </xdr:nvPicPr>
      <xdr:blipFill>
        <a:blip r:embed="rId5">
          <a:lum/>
        </a:blip>
        <a:stretch>
          <a:fillRect/>
        </a:stretch>
      </xdr:blipFill>
      <xdr:spPr>
        <a:xfrm>
          <a:off x="12700" y="78124685"/>
          <a:ext cx="1429385" cy="13373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0</xdr:col>
      <xdr:colOff>95250</xdr:colOff>
      <xdr:row>135</xdr:row>
      <xdr:rowOff>66675</xdr:rowOff>
    </xdr:from>
    <xdr:to>
      <xdr:col>0</xdr:col>
      <xdr:colOff>1562100</xdr:colOff>
      <xdr:row>135</xdr:row>
      <xdr:rowOff>1496060</xdr:rowOff>
    </xdr:to>
    <xdr:pic>
      <xdr:nvPicPr>
        <xdr:cNvPr id="16399" name="图片 7"/>
        <xdr:cNvPicPr>
          <a:picLocks noChangeAspect="1"/>
        </xdr:cNvPicPr>
      </xdr:nvPicPr>
      <xdr:blipFill>
        <a:blip r:embed="rId6">
          <a:lum/>
        </a:blip>
        <a:stretch>
          <a:fillRect/>
        </a:stretch>
      </xdr:blipFill>
      <xdr:spPr>
        <a:xfrm>
          <a:off x="95250" y="61687075"/>
          <a:ext cx="1466850" cy="1429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95250</xdr:colOff>
      <xdr:row>132</xdr:row>
      <xdr:rowOff>76200</xdr:rowOff>
    </xdr:from>
    <xdr:to>
      <xdr:col>0</xdr:col>
      <xdr:colOff>1562100</xdr:colOff>
      <xdr:row>134</xdr:row>
      <xdr:rowOff>457200</xdr:rowOff>
    </xdr:to>
    <xdr:pic>
      <xdr:nvPicPr>
        <xdr:cNvPr id="16400" name="图片 17" descr="C:\Users\Administrator\Desktop\微信图片_20181215093408.jpg微信图片_20181215093408"/>
        <xdr:cNvPicPr>
          <a:picLocks noChangeAspect="1"/>
        </xdr:cNvPicPr>
      </xdr:nvPicPr>
      <xdr:blipFill>
        <a:blip r:embed="rId7">
          <a:lum/>
        </a:blip>
        <a:stretch>
          <a:fillRect/>
        </a:stretch>
      </xdr:blipFill>
      <xdr:spPr>
        <a:xfrm>
          <a:off x="95250" y="60134500"/>
          <a:ext cx="1466850" cy="1422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161925</xdr:colOff>
      <xdr:row>86</xdr:row>
      <xdr:rowOff>190500</xdr:rowOff>
    </xdr:from>
    <xdr:to>
      <xdr:col>0</xdr:col>
      <xdr:colOff>1514475</xdr:colOff>
      <xdr:row>91</xdr:row>
      <xdr:rowOff>238125</xdr:rowOff>
    </xdr:to>
    <xdr:pic>
      <xdr:nvPicPr>
        <xdr:cNvPr id="16403" name="图片 20" descr="b08a068835eca49473417b0c4834de6"/>
        <xdr:cNvPicPr>
          <a:picLocks noChangeAspect="1"/>
        </xdr:cNvPicPr>
      </xdr:nvPicPr>
      <xdr:blipFill>
        <a:blip r:embed="rId8">
          <a:lum/>
        </a:blip>
        <a:stretch>
          <a:fillRect/>
        </a:stretch>
      </xdr:blipFill>
      <xdr:spPr>
        <a:xfrm>
          <a:off x="161925" y="43421300"/>
          <a:ext cx="1352550" cy="1381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171450</xdr:colOff>
      <xdr:row>91</xdr:row>
      <xdr:rowOff>257175</xdr:rowOff>
    </xdr:from>
    <xdr:to>
      <xdr:col>0</xdr:col>
      <xdr:colOff>1524000</xdr:colOff>
      <xdr:row>96</xdr:row>
      <xdr:rowOff>200025</xdr:rowOff>
    </xdr:to>
    <xdr:pic>
      <xdr:nvPicPr>
        <xdr:cNvPr id="16404" name="图片 21" descr="9c662546115fd4277c4f7c8893ea5a4"/>
        <xdr:cNvPicPr>
          <a:picLocks noChangeAspect="1"/>
        </xdr:cNvPicPr>
      </xdr:nvPicPr>
      <xdr:blipFill>
        <a:blip r:embed="rId9">
          <a:lum/>
        </a:blip>
        <a:stretch>
          <a:fillRect/>
        </a:stretch>
      </xdr:blipFill>
      <xdr:spPr>
        <a:xfrm>
          <a:off x="171450" y="44821475"/>
          <a:ext cx="1352550" cy="1276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171450</xdr:colOff>
      <xdr:row>42</xdr:row>
      <xdr:rowOff>628650</xdr:rowOff>
    </xdr:from>
    <xdr:to>
      <xdr:col>0</xdr:col>
      <xdr:colOff>1476375</xdr:colOff>
      <xdr:row>44</xdr:row>
      <xdr:rowOff>527050</xdr:rowOff>
    </xdr:to>
    <xdr:pic>
      <xdr:nvPicPr>
        <xdr:cNvPr id="16416" name="图片 33" descr="f5390e504682be63cdbaf959c7ba169"/>
        <xdr:cNvPicPr>
          <a:picLocks noChangeAspect="1"/>
        </xdr:cNvPicPr>
      </xdr:nvPicPr>
      <xdr:blipFill>
        <a:blip r:embed="rId10">
          <a:lum/>
        </a:blip>
        <a:srcRect l="10490" r="9674"/>
        <a:stretch>
          <a:fillRect/>
        </a:stretch>
      </xdr:blipFill>
      <xdr:spPr>
        <a:xfrm>
          <a:off x="171450" y="19831050"/>
          <a:ext cx="1304925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171450</xdr:colOff>
      <xdr:row>41</xdr:row>
      <xdr:rowOff>28575</xdr:rowOff>
    </xdr:from>
    <xdr:to>
      <xdr:col>0</xdr:col>
      <xdr:colOff>1485900</xdr:colOff>
      <xdr:row>42</xdr:row>
      <xdr:rowOff>577850</xdr:rowOff>
    </xdr:to>
    <xdr:pic>
      <xdr:nvPicPr>
        <xdr:cNvPr id="16417" name="图片 34" descr="e95bab90fd85884b57f197102d30f6e"/>
        <xdr:cNvPicPr>
          <a:picLocks noChangeAspect="1"/>
        </xdr:cNvPicPr>
      </xdr:nvPicPr>
      <xdr:blipFill>
        <a:blip r:embed="rId11">
          <a:lum/>
        </a:blip>
        <a:srcRect l="10301" r="10721"/>
        <a:stretch>
          <a:fillRect/>
        </a:stretch>
      </xdr:blipFill>
      <xdr:spPr>
        <a:xfrm>
          <a:off x="171450" y="18570575"/>
          <a:ext cx="1314450" cy="1209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219075</xdr:colOff>
      <xdr:row>72</xdr:row>
      <xdr:rowOff>85725</xdr:rowOff>
    </xdr:from>
    <xdr:to>
      <xdr:col>0</xdr:col>
      <xdr:colOff>1400175</xdr:colOff>
      <xdr:row>73</xdr:row>
      <xdr:rowOff>609600</xdr:rowOff>
    </xdr:to>
    <xdr:pic>
      <xdr:nvPicPr>
        <xdr:cNvPr id="16423" name="图片 40"/>
        <xdr:cNvPicPr>
          <a:picLocks noChangeAspect="1"/>
        </xdr:cNvPicPr>
      </xdr:nvPicPr>
      <xdr:blipFill>
        <a:blip r:embed="rId12">
          <a:lum/>
        </a:blip>
        <a:stretch>
          <a:fillRect/>
        </a:stretch>
      </xdr:blipFill>
      <xdr:spPr>
        <a:xfrm>
          <a:off x="219075" y="35544125"/>
          <a:ext cx="1181100" cy="1171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247650</xdr:colOff>
      <xdr:row>76</xdr:row>
      <xdr:rowOff>38100</xdr:rowOff>
    </xdr:from>
    <xdr:to>
      <xdr:col>0</xdr:col>
      <xdr:colOff>1581150</xdr:colOff>
      <xdr:row>77</xdr:row>
      <xdr:rowOff>600075</xdr:rowOff>
    </xdr:to>
    <xdr:pic>
      <xdr:nvPicPr>
        <xdr:cNvPr id="16425" name="图片 42"/>
        <xdr:cNvPicPr>
          <a:picLocks noChangeAspect="1"/>
        </xdr:cNvPicPr>
      </xdr:nvPicPr>
      <xdr:blipFill>
        <a:blip r:embed="rId13">
          <a:lum/>
        </a:blip>
        <a:stretch>
          <a:fillRect/>
        </a:stretch>
      </xdr:blipFill>
      <xdr:spPr>
        <a:xfrm>
          <a:off x="247650" y="38011100"/>
          <a:ext cx="1333500" cy="1247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142875</xdr:colOff>
      <xdr:row>100</xdr:row>
      <xdr:rowOff>28575</xdr:rowOff>
    </xdr:from>
    <xdr:to>
      <xdr:col>0</xdr:col>
      <xdr:colOff>1362075</xdr:colOff>
      <xdr:row>103</xdr:row>
      <xdr:rowOff>295275</xdr:rowOff>
    </xdr:to>
    <xdr:pic>
      <xdr:nvPicPr>
        <xdr:cNvPr id="16426" name="图片 43"/>
        <xdr:cNvPicPr>
          <a:picLocks noChangeAspect="1"/>
        </xdr:cNvPicPr>
      </xdr:nvPicPr>
      <xdr:blipFill>
        <a:blip r:embed="rId14">
          <a:lum/>
        </a:blip>
        <a:stretch>
          <a:fillRect/>
        </a:stretch>
      </xdr:blipFill>
      <xdr:spPr>
        <a:xfrm>
          <a:off x="142875" y="46993175"/>
          <a:ext cx="121920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133350</xdr:colOff>
      <xdr:row>104</xdr:row>
      <xdr:rowOff>85725</xdr:rowOff>
    </xdr:from>
    <xdr:to>
      <xdr:col>0</xdr:col>
      <xdr:colOff>1343025</xdr:colOff>
      <xdr:row>108</xdr:row>
      <xdr:rowOff>9525</xdr:rowOff>
    </xdr:to>
    <xdr:pic>
      <xdr:nvPicPr>
        <xdr:cNvPr id="16427" name="图片 44"/>
        <xdr:cNvPicPr>
          <a:picLocks noChangeAspect="1"/>
        </xdr:cNvPicPr>
      </xdr:nvPicPr>
      <xdr:blipFill>
        <a:blip r:embed="rId15">
          <a:lum/>
        </a:blip>
        <a:stretch>
          <a:fillRect/>
        </a:stretch>
      </xdr:blipFill>
      <xdr:spPr>
        <a:xfrm>
          <a:off x="133350" y="48320325"/>
          <a:ext cx="1209675" cy="1193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152400</xdr:colOff>
      <xdr:row>108</xdr:row>
      <xdr:rowOff>114300</xdr:rowOff>
    </xdr:from>
    <xdr:to>
      <xdr:col>0</xdr:col>
      <xdr:colOff>1285875</xdr:colOff>
      <xdr:row>111</xdr:row>
      <xdr:rowOff>285750</xdr:rowOff>
    </xdr:to>
    <xdr:pic>
      <xdr:nvPicPr>
        <xdr:cNvPr id="16428" name="图片 45"/>
        <xdr:cNvPicPr>
          <a:picLocks noChangeAspect="1"/>
        </xdr:cNvPicPr>
      </xdr:nvPicPr>
      <xdr:blipFill>
        <a:blip r:embed="rId16">
          <a:lum/>
        </a:blip>
        <a:stretch>
          <a:fillRect/>
        </a:stretch>
      </xdr:blipFill>
      <xdr:spPr>
        <a:xfrm>
          <a:off x="152400" y="49618900"/>
          <a:ext cx="1133475" cy="1123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81915</xdr:colOff>
      <xdr:row>118</xdr:row>
      <xdr:rowOff>0</xdr:rowOff>
    </xdr:from>
    <xdr:to>
      <xdr:col>0</xdr:col>
      <xdr:colOff>1567815</xdr:colOff>
      <xdr:row>118</xdr:row>
      <xdr:rowOff>1485900</xdr:rowOff>
    </xdr:to>
    <xdr:pic>
      <xdr:nvPicPr>
        <xdr:cNvPr id="16429" name="图片 46"/>
        <xdr:cNvPicPr>
          <a:picLocks noChangeAspect="1"/>
        </xdr:cNvPicPr>
      </xdr:nvPicPr>
      <xdr:blipFill>
        <a:blip r:embed="rId17">
          <a:lum/>
        </a:blip>
        <a:stretch>
          <a:fillRect/>
        </a:stretch>
      </xdr:blipFill>
      <xdr:spPr>
        <a:xfrm>
          <a:off x="81915" y="53809900"/>
          <a:ext cx="1485900" cy="1485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67945</xdr:colOff>
      <xdr:row>119</xdr:row>
      <xdr:rowOff>62865</xdr:rowOff>
    </xdr:from>
    <xdr:to>
      <xdr:col>0</xdr:col>
      <xdr:colOff>1563370</xdr:colOff>
      <xdr:row>124</xdr:row>
      <xdr:rowOff>234315</xdr:rowOff>
    </xdr:to>
    <xdr:pic>
      <xdr:nvPicPr>
        <xdr:cNvPr id="16430" name="图片 47"/>
        <xdr:cNvPicPr>
          <a:picLocks noChangeAspect="1"/>
        </xdr:cNvPicPr>
      </xdr:nvPicPr>
      <xdr:blipFill>
        <a:blip r:embed="rId18">
          <a:lum/>
        </a:blip>
        <a:stretch>
          <a:fillRect/>
        </a:stretch>
      </xdr:blipFill>
      <xdr:spPr>
        <a:xfrm>
          <a:off x="67945" y="55460265"/>
          <a:ext cx="1495425" cy="1504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172720</xdr:colOff>
      <xdr:row>15</xdr:row>
      <xdr:rowOff>24765</xdr:rowOff>
    </xdr:from>
    <xdr:to>
      <xdr:col>0</xdr:col>
      <xdr:colOff>1410970</xdr:colOff>
      <xdr:row>19</xdr:row>
      <xdr:rowOff>148590</xdr:rowOff>
    </xdr:to>
    <xdr:pic>
      <xdr:nvPicPr>
        <xdr:cNvPr id="16431" name="图片 48"/>
        <xdr:cNvPicPr>
          <a:picLocks noChangeAspect="1"/>
        </xdr:cNvPicPr>
      </xdr:nvPicPr>
      <xdr:blipFill>
        <a:blip r:embed="rId19">
          <a:lum/>
        </a:blip>
        <a:stretch>
          <a:fillRect/>
        </a:stretch>
      </xdr:blipFill>
      <xdr:spPr>
        <a:xfrm>
          <a:off x="172720" y="10743565"/>
          <a:ext cx="1238250" cy="1190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97790</xdr:colOff>
      <xdr:row>24</xdr:row>
      <xdr:rowOff>222885</xdr:rowOff>
    </xdr:from>
    <xdr:to>
      <xdr:col>0</xdr:col>
      <xdr:colOff>1440815</xdr:colOff>
      <xdr:row>29</xdr:row>
      <xdr:rowOff>175260</xdr:rowOff>
    </xdr:to>
    <xdr:pic>
      <xdr:nvPicPr>
        <xdr:cNvPr id="16432" name="图片 49"/>
        <xdr:cNvPicPr>
          <a:picLocks noChangeAspect="1"/>
        </xdr:cNvPicPr>
      </xdr:nvPicPr>
      <xdr:blipFill>
        <a:blip r:embed="rId20">
          <a:lum/>
        </a:blip>
        <a:stretch>
          <a:fillRect/>
        </a:stretch>
      </xdr:blipFill>
      <xdr:spPr>
        <a:xfrm>
          <a:off x="97790" y="13341985"/>
          <a:ext cx="1343025" cy="12858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190500</xdr:colOff>
      <xdr:row>78</xdr:row>
      <xdr:rowOff>47625</xdr:rowOff>
    </xdr:from>
    <xdr:to>
      <xdr:col>0</xdr:col>
      <xdr:colOff>1552575</xdr:colOff>
      <xdr:row>79</xdr:row>
      <xdr:rowOff>628650</xdr:rowOff>
    </xdr:to>
    <xdr:pic>
      <xdr:nvPicPr>
        <xdr:cNvPr id="16398" name="图片 15"/>
        <xdr:cNvPicPr>
          <a:picLocks noChangeAspect="1"/>
        </xdr:cNvPicPr>
      </xdr:nvPicPr>
      <xdr:blipFill>
        <a:blip r:embed="rId21">
          <a:lum/>
        </a:blip>
        <a:stretch>
          <a:fillRect/>
        </a:stretch>
      </xdr:blipFill>
      <xdr:spPr>
        <a:xfrm>
          <a:off x="190500" y="39392225"/>
          <a:ext cx="1362075" cy="1266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105410</xdr:colOff>
      <xdr:row>60</xdr:row>
      <xdr:rowOff>48895</xdr:rowOff>
    </xdr:from>
    <xdr:to>
      <xdr:col>0</xdr:col>
      <xdr:colOff>1515110</xdr:colOff>
      <xdr:row>64</xdr:row>
      <xdr:rowOff>242570</xdr:rowOff>
    </xdr:to>
    <xdr:pic>
      <xdr:nvPicPr>
        <xdr:cNvPr id="16436" name="图片 53"/>
        <xdr:cNvPicPr>
          <a:picLocks noChangeAspect="1"/>
        </xdr:cNvPicPr>
      </xdr:nvPicPr>
      <xdr:blipFill>
        <a:blip r:embed="rId22">
          <a:lum/>
        </a:blip>
        <a:stretch>
          <a:fillRect/>
        </a:stretch>
      </xdr:blipFill>
      <xdr:spPr>
        <a:xfrm>
          <a:off x="105410" y="29893895"/>
          <a:ext cx="1409700" cy="1362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209550</xdr:colOff>
      <xdr:row>74</xdr:row>
      <xdr:rowOff>47625</xdr:rowOff>
    </xdr:from>
    <xdr:to>
      <xdr:col>0</xdr:col>
      <xdr:colOff>1514475</xdr:colOff>
      <xdr:row>75</xdr:row>
      <xdr:rowOff>552450</xdr:rowOff>
    </xdr:to>
    <xdr:pic>
      <xdr:nvPicPr>
        <xdr:cNvPr id="16419" name="图片 36"/>
        <xdr:cNvPicPr>
          <a:picLocks noChangeAspect="1"/>
        </xdr:cNvPicPr>
      </xdr:nvPicPr>
      <xdr:blipFill>
        <a:blip r:embed="rId23">
          <a:lum/>
        </a:blip>
        <a:stretch>
          <a:fillRect/>
        </a:stretch>
      </xdr:blipFill>
      <xdr:spPr>
        <a:xfrm>
          <a:off x="209550" y="36801425"/>
          <a:ext cx="1304925" cy="11144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114300</xdr:colOff>
      <xdr:row>59</xdr:row>
      <xdr:rowOff>38100</xdr:rowOff>
    </xdr:from>
    <xdr:to>
      <xdr:col>0</xdr:col>
      <xdr:colOff>1466850</xdr:colOff>
      <xdr:row>59</xdr:row>
      <xdr:rowOff>1390650</xdr:rowOff>
    </xdr:to>
    <xdr:pic>
      <xdr:nvPicPr>
        <xdr:cNvPr id="16418" name="图片 35"/>
        <xdr:cNvPicPr>
          <a:picLocks noChangeAspect="1"/>
        </xdr:cNvPicPr>
      </xdr:nvPicPr>
      <xdr:blipFill>
        <a:blip r:embed="rId24">
          <a:lum/>
        </a:blip>
        <a:stretch>
          <a:fillRect/>
        </a:stretch>
      </xdr:blipFill>
      <xdr:spPr>
        <a:xfrm>
          <a:off x="114300" y="28435300"/>
          <a:ext cx="1352550" cy="1352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190500</xdr:colOff>
      <xdr:row>112</xdr:row>
      <xdr:rowOff>95250</xdr:rowOff>
    </xdr:from>
    <xdr:to>
      <xdr:col>0</xdr:col>
      <xdr:colOff>1304925</xdr:colOff>
      <xdr:row>115</xdr:row>
      <xdr:rowOff>276225</xdr:rowOff>
    </xdr:to>
    <xdr:pic>
      <xdr:nvPicPr>
        <xdr:cNvPr id="16435" name="图片 52"/>
        <xdr:cNvPicPr>
          <a:picLocks noChangeAspect="1"/>
        </xdr:cNvPicPr>
      </xdr:nvPicPr>
      <xdr:blipFill>
        <a:blip r:embed="rId25">
          <a:lum/>
        </a:blip>
        <a:stretch>
          <a:fillRect/>
        </a:stretch>
      </xdr:blipFill>
      <xdr:spPr>
        <a:xfrm>
          <a:off x="190500" y="50869850"/>
          <a:ext cx="1114425" cy="1133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123825</xdr:colOff>
      <xdr:row>69</xdr:row>
      <xdr:rowOff>95250</xdr:rowOff>
    </xdr:from>
    <xdr:to>
      <xdr:col>0</xdr:col>
      <xdr:colOff>1440180</xdr:colOff>
      <xdr:row>71</xdr:row>
      <xdr:rowOff>381000</xdr:rowOff>
    </xdr:to>
    <xdr:pic>
      <xdr:nvPicPr>
        <xdr:cNvPr id="16387" name="图片 4"/>
        <xdr:cNvPicPr>
          <a:picLocks noChangeAspect="1"/>
        </xdr:cNvPicPr>
      </xdr:nvPicPr>
      <xdr:blipFill>
        <a:blip r:embed="rId26">
          <a:lum/>
        </a:blip>
        <a:srcRect l="12758" t="2994" r="12109" b="3407"/>
        <a:stretch>
          <a:fillRect/>
        </a:stretch>
      </xdr:blipFill>
      <xdr:spPr>
        <a:xfrm>
          <a:off x="123825" y="34143950"/>
          <a:ext cx="1316355" cy="1225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161925</xdr:colOff>
      <xdr:row>52</xdr:row>
      <xdr:rowOff>38100</xdr:rowOff>
    </xdr:from>
    <xdr:to>
      <xdr:col>0</xdr:col>
      <xdr:colOff>1552575</xdr:colOff>
      <xdr:row>54</xdr:row>
      <xdr:rowOff>352425</xdr:rowOff>
    </xdr:to>
    <xdr:pic>
      <xdr:nvPicPr>
        <xdr:cNvPr id="16439" name="图片 56"/>
        <xdr:cNvPicPr>
          <a:picLocks noChangeAspect="1"/>
        </xdr:cNvPicPr>
      </xdr:nvPicPr>
      <xdr:blipFill>
        <a:blip r:embed="rId27">
          <a:lum/>
        </a:blip>
        <a:srcRect r="3140"/>
        <a:stretch>
          <a:fillRect/>
        </a:stretch>
      </xdr:blipFill>
      <xdr:spPr>
        <a:xfrm>
          <a:off x="161925" y="25234900"/>
          <a:ext cx="1390650" cy="1228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152400</xdr:colOff>
      <xdr:row>67</xdr:row>
      <xdr:rowOff>28575</xdr:rowOff>
    </xdr:from>
    <xdr:to>
      <xdr:col>0</xdr:col>
      <xdr:colOff>1438275</xdr:colOff>
      <xdr:row>68</xdr:row>
      <xdr:rowOff>635000</xdr:rowOff>
    </xdr:to>
    <xdr:pic>
      <xdr:nvPicPr>
        <xdr:cNvPr id="16442" name="图片 59"/>
        <xdr:cNvPicPr>
          <a:picLocks noChangeAspect="1"/>
        </xdr:cNvPicPr>
      </xdr:nvPicPr>
      <xdr:blipFill>
        <a:blip r:embed="rId28">
          <a:lum/>
        </a:blip>
        <a:stretch>
          <a:fillRect/>
        </a:stretch>
      </xdr:blipFill>
      <xdr:spPr>
        <a:xfrm>
          <a:off x="152400" y="32731075"/>
          <a:ext cx="1285875" cy="1279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114300</xdr:colOff>
      <xdr:row>65</xdr:row>
      <xdr:rowOff>38100</xdr:rowOff>
    </xdr:from>
    <xdr:to>
      <xdr:col>0</xdr:col>
      <xdr:colOff>1439545</xdr:colOff>
      <xdr:row>66</xdr:row>
      <xdr:rowOff>638175</xdr:rowOff>
    </xdr:to>
    <xdr:pic>
      <xdr:nvPicPr>
        <xdr:cNvPr id="16445" name="图片 62"/>
        <xdr:cNvPicPr>
          <a:picLocks noChangeAspect="1"/>
        </xdr:cNvPicPr>
      </xdr:nvPicPr>
      <xdr:blipFill>
        <a:blip r:embed="rId29">
          <a:lum/>
        </a:blip>
        <a:stretch>
          <a:fillRect/>
        </a:stretch>
      </xdr:blipFill>
      <xdr:spPr>
        <a:xfrm>
          <a:off x="114300" y="31343600"/>
          <a:ext cx="1325245" cy="1298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200025</xdr:colOff>
      <xdr:row>49</xdr:row>
      <xdr:rowOff>28575</xdr:rowOff>
    </xdr:from>
    <xdr:to>
      <xdr:col>0</xdr:col>
      <xdr:colOff>1504950</xdr:colOff>
      <xdr:row>51</xdr:row>
      <xdr:rowOff>401955</xdr:rowOff>
    </xdr:to>
    <xdr:pic>
      <xdr:nvPicPr>
        <xdr:cNvPr id="16446" name="图片 63"/>
        <xdr:cNvPicPr>
          <a:picLocks noChangeAspect="1"/>
        </xdr:cNvPicPr>
      </xdr:nvPicPr>
      <xdr:blipFill>
        <a:blip r:embed="rId30">
          <a:lum/>
        </a:blip>
        <a:stretch>
          <a:fillRect/>
        </a:stretch>
      </xdr:blipFill>
      <xdr:spPr>
        <a:xfrm>
          <a:off x="200025" y="23853775"/>
          <a:ext cx="1304925" cy="12877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180975</xdr:colOff>
      <xdr:row>30</xdr:row>
      <xdr:rowOff>57150</xdr:rowOff>
    </xdr:from>
    <xdr:to>
      <xdr:col>0</xdr:col>
      <xdr:colOff>1428750</xdr:colOff>
      <xdr:row>33</xdr:row>
      <xdr:rowOff>215900</xdr:rowOff>
    </xdr:to>
    <xdr:pic>
      <xdr:nvPicPr>
        <xdr:cNvPr id="16447" name="图片 64"/>
        <xdr:cNvPicPr>
          <a:picLocks noChangeAspect="1"/>
        </xdr:cNvPicPr>
      </xdr:nvPicPr>
      <xdr:blipFill>
        <a:blip r:embed="rId31">
          <a:lum/>
        </a:blip>
        <a:stretch>
          <a:fillRect/>
        </a:stretch>
      </xdr:blipFill>
      <xdr:spPr>
        <a:xfrm>
          <a:off x="180975" y="14776450"/>
          <a:ext cx="1247775" cy="12382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152400</xdr:colOff>
      <xdr:row>33</xdr:row>
      <xdr:rowOff>247650</xdr:rowOff>
    </xdr:from>
    <xdr:to>
      <xdr:col>0</xdr:col>
      <xdr:colOff>1447800</xdr:colOff>
      <xdr:row>37</xdr:row>
      <xdr:rowOff>133350</xdr:rowOff>
    </xdr:to>
    <xdr:pic>
      <xdr:nvPicPr>
        <xdr:cNvPr id="16448" name="图片 65"/>
        <xdr:cNvPicPr>
          <a:picLocks noChangeAspect="1"/>
        </xdr:cNvPicPr>
      </xdr:nvPicPr>
      <xdr:blipFill>
        <a:blip r:embed="rId32">
          <a:lum/>
        </a:blip>
        <a:stretch>
          <a:fillRect/>
        </a:stretch>
      </xdr:blipFill>
      <xdr:spPr>
        <a:xfrm>
          <a:off x="152400" y="16046450"/>
          <a:ext cx="1295400" cy="1257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154305</xdr:colOff>
      <xdr:row>19</xdr:row>
      <xdr:rowOff>231140</xdr:rowOff>
    </xdr:from>
    <xdr:to>
      <xdr:col>0</xdr:col>
      <xdr:colOff>1411605</xdr:colOff>
      <xdr:row>24</xdr:row>
      <xdr:rowOff>145415</xdr:rowOff>
    </xdr:to>
    <xdr:pic>
      <xdr:nvPicPr>
        <xdr:cNvPr id="16449" name="图片 66"/>
        <xdr:cNvPicPr>
          <a:picLocks noChangeAspect="1"/>
        </xdr:cNvPicPr>
      </xdr:nvPicPr>
      <xdr:blipFill>
        <a:blip r:embed="rId33">
          <a:lum/>
        </a:blip>
        <a:stretch>
          <a:fillRect/>
        </a:stretch>
      </xdr:blipFill>
      <xdr:spPr>
        <a:xfrm>
          <a:off x="154305" y="12016740"/>
          <a:ext cx="1257300" cy="1247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624205</xdr:colOff>
      <xdr:row>0</xdr:row>
      <xdr:rowOff>635</xdr:rowOff>
    </xdr:from>
    <xdr:to>
      <xdr:col>7</xdr:col>
      <xdr:colOff>436880</xdr:colOff>
      <xdr:row>0</xdr:row>
      <xdr:rowOff>1000760</xdr:rowOff>
    </xdr:to>
    <xdr:pic>
      <xdr:nvPicPr>
        <xdr:cNvPr id="16392" name="图片 9"/>
        <xdr:cNvPicPr>
          <a:picLocks noChangeAspect="1"/>
        </xdr:cNvPicPr>
      </xdr:nvPicPr>
      <xdr:blipFill>
        <a:blip r:embed="rId34">
          <a:lum/>
        </a:blip>
        <a:stretch>
          <a:fillRect/>
        </a:stretch>
      </xdr:blipFill>
      <xdr:spPr>
        <a:xfrm>
          <a:off x="6785610" y="635"/>
          <a:ext cx="1352550" cy="1000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47625</xdr:colOff>
      <xdr:row>160</xdr:row>
      <xdr:rowOff>28575</xdr:rowOff>
    </xdr:from>
    <xdr:to>
      <xdr:col>0</xdr:col>
      <xdr:colOff>1505585</xdr:colOff>
      <xdr:row>160</xdr:row>
      <xdr:rowOff>1381125</xdr:rowOff>
    </xdr:to>
    <xdr:pic>
      <xdr:nvPicPr>
        <xdr:cNvPr id="8194" name="图片 25"/>
        <xdr:cNvPicPr>
          <a:picLocks noChangeAspect="1"/>
        </xdr:cNvPicPr>
      </xdr:nvPicPr>
      <xdr:blipFill>
        <a:blip r:embed="rId35">
          <a:lum/>
        </a:blip>
        <a:stretch>
          <a:fillRect/>
        </a:stretch>
      </xdr:blipFill>
      <xdr:spPr>
        <a:xfrm>
          <a:off x="47625" y="79721075"/>
          <a:ext cx="1457960" cy="1352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162</xdr:row>
      <xdr:rowOff>46990</xdr:rowOff>
    </xdr:from>
    <xdr:to>
      <xdr:col>0</xdr:col>
      <xdr:colOff>1542415</xdr:colOff>
      <xdr:row>164</xdr:row>
      <xdr:rowOff>420370</xdr:rowOff>
    </xdr:to>
    <xdr:pic>
      <xdr:nvPicPr>
        <xdr:cNvPr id="8195" name="图片 6"/>
        <xdr:cNvPicPr>
          <a:picLocks noChangeAspect="1"/>
        </xdr:cNvPicPr>
      </xdr:nvPicPr>
      <xdr:blipFill>
        <a:blip r:embed="rId36">
          <a:lum/>
        </a:blip>
        <a:stretch>
          <a:fillRect/>
        </a:stretch>
      </xdr:blipFill>
      <xdr:spPr>
        <a:xfrm>
          <a:off x="9525" y="82533490"/>
          <a:ext cx="1532890" cy="13385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123190</xdr:colOff>
      <xdr:row>172</xdr:row>
      <xdr:rowOff>45720</xdr:rowOff>
    </xdr:from>
    <xdr:to>
      <xdr:col>0</xdr:col>
      <xdr:colOff>1428115</xdr:colOff>
      <xdr:row>172</xdr:row>
      <xdr:rowOff>1293495</xdr:rowOff>
    </xdr:to>
    <xdr:pic>
      <xdr:nvPicPr>
        <xdr:cNvPr id="8196" name="图片 4"/>
        <xdr:cNvPicPr>
          <a:picLocks noChangeAspect="1"/>
        </xdr:cNvPicPr>
      </xdr:nvPicPr>
      <xdr:blipFill>
        <a:blip r:embed="rId37">
          <a:lum/>
        </a:blip>
        <a:stretch>
          <a:fillRect/>
        </a:stretch>
      </xdr:blipFill>
      <xdr:spPr>
        <a:xfrm>
          <a:off x="123190" y="91244420"/>
          <a:ext cx="1304925" cy="12477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53975</xdr:colOff>
      <xdr:row>169</xdr:row>
      <xdr:rowOff>66040</xdr:rowOff>
    </xdr:from>
    <xdr:to>
      <xdr:col>0</xdr:col>
      <xdr:colOff>1425575</xdr:colOff>
      <xdr:row>171</xdr:row>
      <xdr:rowOff>408940</xdr:rowOff>
    </xdr:to>
    <xdr:pic>
      <xdr:nvPicPr>
        <xdr:cNvPr id="8197" name="图片 55"/>
        <xdr:cNvPicPr>
          <a:picLocks noChangeAspect="1"/>
        </xdr:cNvPicPr>
      </xdr:nvPicPr>
      <xdr:blipFill>
        <a:blip r:embed="rId38">
          <a:lum/>
        </a:blip>
        <a:srcRect l="7198" r="7855"/>
        <a:stretch>
          <a:fillRect/>
        </a:stretch>
      </xdr:blipFill>
      <xdr:spPr>
        <a:xfrm>
          <a:off x="53975" y="89969340"/>
          <a:ext cx="1371600" cy="1219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165</xdr:row>
      <xdr:rowOff>76835</xdr:rowOff>
    </xdr:from>
    <xdr:to>
      <xdr:col>0</xdr:col>
      <xdr:colOff>1426845</xdr:colOff>
      <xdr:row>165</xdr:row>
      <xdr:rowOff>1457960</xdr:rowOff>
    </xdr:to>
    <xdr:pic>
      <xdr:nvPicPr>
        <xdr:cNvPr id="8198" name="图片 6"/>
        <xdr:cNvPicPr>
          <a:picLocks noChangeAspect="1"/>
        </xdr:cNvPicPr>
      </xdr:nvPicPr>
      <xdr:blipFill>
        <a:blip r:embed="rId39">
          <a:lum/>
        </a:blip>
        <a:stretch>
          <a:fillRect/>
        </a:stretch>
      </xdr:blipFill>
      <xdr:spPr>
        <a:xfrm>
          <a:off x="9525" y="84061935"/>
          <a:ext cx="1417320" cy="1381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18415</xdr:colOff>
      <xdr:row>166</xdr:row>
      <xdr:rowOff>27940</xdr:rowOff>
    </xdr:from>
    <xdr:to>
      <xdr:col>0</xdr:col>
      <xdr:colOff>1409700</xdr:colOff>
      <xdr:row>166</xdr:row>
      <xdr:rowOff>1425575</xdr:rowOff>
    </xdr:to>
    <xdr:pic>
      <xdr:nvPicPr>
        <xdr:cNvPr id="8199" name="图片 7"/>
        <xdr:cNvPicPr>
          <a:picLocks noChangeAspect="1"/>
        </xdr:cNvPicPr>
      </xdr:nvPicPr>
      <xdr:blipFill>
        <a:blip r:embed="rId40">
          <a:lum/>
        </a:blip>
        <a:stretch>
          <a:fillRect/>
        </a:stretch>
      </xdr:blipFill>
      <xdr:spPr>
        <a:xfrm>
          <a:off x="18415" y="85511640"/>
          <a:ext cx="1391285" cy="1397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48260</xdr:colOff>
      <xdr:row>141</xdr:row>
      <xdr:rowOff>85090</xdr:rowOff>
    </xdr:from>
    <xdr:to>
      <xdr:col>0</xdr:col>
      <xdr:colOff>1511935</xdr:colOff>
      <xdr:row>142</xdr:row>
      <xdr:rowOff>594360</xdr:rowOff>
    </xdr:to>
    <xdr:pic>
      <xdr:nvPicPr>
        <xdr:cNvPr id="8200" name="图片 1" descr="1576121918(1)"/>
        <xdr:cNvPicPr>
          <a:picLocks noChangeAspect="1"/>
        </xdr:cNvPicPr>
      </xdr:nvPicPr>
      <xdr:blipFill>
        <a:blip r:embed="rId41">
          <a:lum/>
        </a:blip>
        <a:stretch>
          <a:fillRect/>
        </a:stretch>
      </xdr:blipFill>
      <xdr:spPr>
        <a:xfrm>
          <a:off x="48260" y="66391790"/>
          <a:ext cx="1463675" cy="13220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8890</xdr:colOff>
      <xdr:row>143</xdr:row>
      <xdr:rowOff>0</xdr:rowOff>
    </xdr:from>
    <xdr:to>
      <xdr:col>0</xdr:col>
      <xdr:colOff>1426845</xdr:colOff>
      <xdr:row>143</xdr:row>
      <xdr:rowOff>1381760</xdr:rowOff>
    </xdr:to>
    <xdr:pic>
      <xdr:nvPicPr>
        <xdr:cNvPr id="8201" name="图片 28" descr="1649399460(1)"/>
        <xdr:cNvPicPr>
          <a:picLocks noChangeAspect="1"/>
        </xdr:cNvPicPr>
      </xdr:nvPicPr>
      <xdr:blipFill>
        <a:blip r:embed="rId42">
          <a:lum/>
        </a:blip>
        <a:stretch>
          <a:fillRect/>
        </a:stretch>
      </xdr:blipFill>
      <xdr:spPr>
        <a:xfrm>
          <a:off x="8890" y="67843400"/>
          <a:ext cx="1417955" cy="1381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114300</xdr:colOff>
      <xdr:row>138</xdr:row>
      <xdr:rowOff>9525</xdr:rowOff>
    </xdr:from>
    <xdr:to>
      <xdr:col>0</xdr:col>
      <xdr:colOff>1552575</xdr:colOff>
      <xdr:row>140</xdr:row>
      <xdr:rowOff>457200</xdr:rowOff>
    </xdr:to>
    <xdr:pic>
      <xdr:nvPicPr>
        <xdr:cNvPr id="8202" name="图片 10"/>
        <xdr:cNvPicPr>
          <a:picLocks noChangeAspect="1"/>
        </xdr:cNvPicPr>
      </xdr:nvPicPr>
      <xdr:blipFill>
        <a:blip r:embed="rId43">
          <a:lum/>
        </a:blip>
        <a:stretch>
          <a:fillRect/>
        </a:stretch>
      </xdr:blipFill>
      <xdr:spPr>
        <a:xfrm>
          <a:off x="114300" y="64830325"/>
          <a:ext cx="1438275" cy="1438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142875</xdr:colOff>
      <xdr:row>161</xdr:row>
      <xdr:rowOff>38100</xdr:rowOff>
    </xdr:from>
    <xdr:to>
      <xdr:col>0</xdr:col>
      <xdr:colOff>1476375</xdr:colOff>
      <xdr:row>161</xdr:row>
      <xdr:rowOff>1304925</xdr:rowOff>
    </xdr:to>
    <xdr:pic>
      <xdr:nvPicPr>
        <xdr:cNvPr id="8193" name="图片 1"/>
        <xdr:cNvPicPr>
          <a:picLocks noChangeAspect="1"/>
        </xdr:cNvPicPr>
      </xdr:nvPicPr>
      <xdr:blipFill>
        <a:blip r:embed="rId44">
          <a:lum/>
        </a:blip>
        <a:stretch>
          <a:fillRect/>
        </a:stretch>
      </xdr:blipFill>
      <xdr:spPr>
        <a:xfrm>
          <a:off x="142875" y="81178400"/>
          <a:ext cx="1333500" cy="1266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152400</xdr:colOff>
      <xdr:row>82</xdr:row>
      <xdr:rowOff>47625</xdr:rowOff>
    </xdr:from>
    <xdr:to>
      <xdr:col>0</xdr:col>
      <xdr:colOff>1485900</xdr:colOff>
      <xdr:row>86</xdr:row>
      <xdr:rowOff>180975</xdr:rowOff>
    </xdr:to>
    <xdr:pic>
      <xdr:nvPicPr>
        <xdr:cNvPr id="8203" name="图片 11"/>
        <xdr:cNvPicPr>
          <a:picLocks noChangeAspect="1"/>
        </xdr:cNvPicPr>
      </xdr:nvPicPr>
      <xdr:blipFill>
        <a:blip r:embed="rId45">
          <a:lum/>
        </a:blip>
        <a:stretch>
          <a:fillRect/>
        </a:stretch>
      </xdr:blipFill>
      <xdr:spPr>
        <a:xfrm>
          <a:off x="152400" y="42211625"/>
          <a:ext cx="1333500" cy="1200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200025</xdr:colOff>
      <xdr:row>12</xdr:row>
      <xdr:rowOff>25400</xdr:rowOff>
    </xdr:from>
    <xdr:to>
      <xdr:col>0</xdr:col>
      <xdr:colOff>1369695</xdr:colOff>
      <xdr:row>12</xdr:row>
      <xdr:rowOff>1143635</xdr:rowOff>
    </xdr:to>
    <xdr:pic>
      <xdr:nvPicPr>
        <xdr:cNvPr id="3" name="图片 2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200025" y="8153400"/>
          <a:ext cx="1169670" cy="1118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152400</xdr:colOff>
      <xdr:row>10</xdr:row>
      <xdr:rowOff>44450</xdr:rowOff>
    </xdr:from>
    <xdr:to>
      <xdr:col>0</xdr:col>
      <xdr:colOff>1369695</xdr:colOff>
      <xdr:row>11</xdr:row>
      <xdr:rowOff>535940</xdr:rowOff>
    </xdr:to>
    <xdr:pic>
      <xdr:nvPicPr>
        <xdr:cNvPr id="5" name="图片 4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152400" y="6953250"/>
          <a:ext cx="1217295" cy="1101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219075</xdr:colOff>
      <xdr:row>13</xdr:row>
      <xdr:rowOff>34925</xdr:rowOff>
    </xdr:from>
    <xdr:to>
      <xdr:col>0</xdr:col>
      <xdr:colOff>1331595</xdr:colOff>
      <xdr:row>13</xdr:row>
      <xdr:rowOff>1122680</xdr:rowOff>
    </xdr:to>
    <xdr:pic>
      <xdr:nvPicPr>
        <xdr:cNvPr id="6" name="图片 5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219075" y="9331325"/>
          <a:ext cx="1112520" cy="10877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161925</xdr:colOff>
      <xdr:row>7</xdr:row>
      <xdr:rowOff>62865</xdr:rowOff>
    </xdr:from>
    <xdr:to>
      <xdr:col>0</xdr:col>
      <xdr:colOff>1418590</xdr:colOff>
      <xdr:row>9</xdr:row>
      <xdr:rowOff>283845</xdr:rowOff>
    </xdr:to>
    <xdr:pic>
      <xdr:nvPicPr>
        <xdr:cNvPr id="7" name="图片 6"/>
        <xdr:cNvPicPr>
          <a:picLocks noChangeAspect="1"/>
        </xdr:cNvPicPr>
      </xdr:nvPicPr>
      <xdr:blipFill>
        <a:blip r:embed="rId49"/>
        <a:srcRect l="7685" r="7731"/>
        <a:stretch>
          <a:fillRect/>
        </a:stretch>
      </xdr:blipFill>
      <xdr:spPr>
        <a:xfrm>
          <a:off x="161925" y="5638165"/>
          <a:ext cx="1256665" cy="11099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162560</xdr:colOff>
      <xdr:row>54</xdr:row>
      <xdr:rowOff>389255</xdr:rowOff>
    </xdr:from>
    <xdr:to>
      <xdr:col>0</xdr:col>
      <xdr:colOff>1593215</xdr:colOff>
      <xdr:row>57</xdr:row>
      <xdr:rowOff>270510</xdr:rowOff>
    </xdr:to>
    <xdr:pic>
      <xdr:nvPicPr>
        <xdr:cNvPr id="10" name="图片 9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162560" y="26500455"/>
          <a:ext cx="1430655" cy="1252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90170</xdr:colOff>
      <xdr:row>149</xdr:row>
      <xdr:rowOff>104140</xdr:rowOff>
    </xdr:from>
    <xdr:to>
      <xdr:col>0</xdr:col>
      <xdr:colOff>1473200</xdr:colOff>
      <xdr:row>151</xdr:row>
      <xdr:rowOff>346710</xdr:rowOff>
    </xdr:to>
    <xdr:pic>
      <xdr:nvPicPr>
        <xdr:cNvPr id="11" name="图片 10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90170" y="73853040"/>
          <a:ext cx="1383030" cy="1258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62230</xdr:colOff>
      <xdr:row>168</xdr:row>
      <xdr:rowOff>85090</xdr:rowOff>
    </xdr:from>
    <xdr:to>
      <xdr:col>0</xdr:col>
      <xdr:colOff>1433830</xdr:colOff>
      <xdr:row>168</xdr:row>
      <xdr:rowOff>1388745</xdr:rowOff>
    </xdr:to>
    <xdr:pic>
      <xdr:nvPicPr>
        <xdr:cNvPr id="12" name="图片 11"/>
        <xdr:cNvPicPr>
          <a:picLocks noChangeAspect="1"/>
        </xdr:cNvPicPr>
      </xdr:nvPicPr>
      <xdr:blipFill>
        <a:blip r:embed="rId52"/>
        <a:srcRect l="4256" r="8188"/>
        <a:stretch>
          <a:fillRect/>
        </a:stretch>
      </xdr:blipFill>
      <xdr:spPr>
        <a:xfrm>
          <a:off x="62230" y="88527890"/>
          <a:ext cx="1371600" cy="1303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0</xdr:colOff>
      <xdr:row>149</xdr:row>
      <xdr:rowOff>118110</xdr:rowOff>
    </xdr:from>
    <xdr:to>
      <xdr:col>11</xdr:col>
      <xdr:colOff>1227455</xdr:colOff>
      <xdr:row>151</xdr:row>
      <xdr:rowOff>226060</xdr:rowOff>
    </xdr:to>
    <xdr:pic>
      <xdr:nvPicPr>
        <xdr:cNvPr id="14" name="图片 13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13075285" y="73867010"/>
          <a:ext cx="1227455" cy="1123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94615</xdr:colOff>
      <xdr:row>6</xdr:row>
      <xdr:rowOff>31115</xdr:rowOff>
    </xdr:from>
    <xdr:to>
      <xdr:col>0</xdr:col>
      <xdr:colOff>1385570</xdr:colOff>
      <xdr:row>6</xdr:row>
      <xdr:rowOff>1206500</xdr:rowOff>
    </xdr:to>
    <xdr:pic>
      <xdr:nvPicPr>
        <xdr:cNvPr id="15" name="图片 14"/>
        <xdr:cNvPicPr>
          <a:picLocks noChangeAspect="1"/>
        </xdr:cNvPicPr>
      </xdr:nvPicPr>
      <xdr:blipFill>
        <a:blip r:embed="rId54"/>
        <a:stretch>
          <a:fillRect/>
        </a:stretch>
      </xdr:blipFill>
      <xdr:spPr>
        <a:xfrm>
          <a:off x="94615" y="4349115"/>
          <a:ext cx="1290955" cy="1175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50800</xdr:colOff>
      <xdr:row>167</xdr:row>
      <xdr:rowOff>53340</xdr:rowOff>
    </xdr:from>
    <xdr:to>
      <xdr:col>0</xdr:col>
      <xdr:colOff>1411605</xdr:colOff>
      <xdr:row>168</xdr:row>
      <xdr:rowOff>3175</xdr:rowOff>
    </xdr:to>
    <xdr:pic>
      <xdr:nvPicPr>
        <xdr:cNvPr id="16" name="图片 15"/>
        <xdr:cNvPicPr>
          <a:picLocks noChangeAspect="1"/>
        </xdr:cNvPicPr>
      </xdr:nvPicPr>
      <xdr:blipFill>
        <a:blip r:embed="rId55"/>
        <a:stretch>
          <a:fillRect/>
        </a:stretch>
      </xdr:blipFill>
      <xdr:spPr>
        <a:xfrm>
          <a:off x="50800" y="86997540"/>
          <a:ext cx="1360805" cy="1448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21590</xdr:colOff>
      <xdr:row>153</xdr:row>
      <xdr:rowOff>46990</xdr:rowOff>
    </xdr:from>
    <xdr:to>
      <xdr:col>0</xdr:col>
      <xdr:colOff>1374140</xdr:colOff>
      <xdr:row>155</xdr:row>
      <xdr:rowOff>389890</xdr:rowOff>
    </xdr:to>
    <xdr:pic>
      <xdr:nvPicPr>
        <xdr:cNvPr id="13" name="图片 39"/>
        <xdr:cNvPicPr>
          <a:picLocks noChangeAspect="1"/>
        </xdr:cNvPicPr>
      </xdr:nvPicPr>
      <xdr:blipFill>
        <a:blip r:embed="rId56">
          <a:lum/>
        </a:blip>
        <a:stretch>
          <a:fillRect/>
        </a:stretch>
      </xdr:blipFill>
      <xdr:spPr>
        <a:xfrm>
          <a:off x="21590" y="76653390"/>
          <a:ext cx="1352550" cy="1282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29210</xdr:colOff>
      <xdr:row>152</xdr:row>
      <xdr:rowOff>52070</xdr:rowOff>
    </xdr:from>
    <xdr:to>
      <xdr:col>0</xdr:col>
      <xdr:colOff>1391920</xdr:colOff>
      <xdr:row>152</xdr:row>
      <xdr:rowOff>1259205</xdr:rowOff>
    </xdr:to>
    <xdr:pic>
      <xdr:nvPicPr>
        <xdr:cNvPr id="17" name="图片 13"/>
        <xdr:cNvPicPr>
          <a:picLocks noChangeAspect="1"/>
        </xdr:cNvPicPr>
      </xdr:nvPicPr>
      <xdr:blipFill>
        <a:blip r:embed="rId57">
          <a:lum/>
        </a:blip>
        <a:stretch>
          <a:fillRect/>
        </a:stretch>
      </xdr:blipFill>
      <xdr:spPr>
        <a:xfrm>
          <a:off x="29210" y="75324970"/>
          <a:ext cx="1362710" cy="12071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26035</xdr:colOff>
      <xdr:row>144</xdr:row>
      <xdr:rowOff>52070</xdr:rowOff>
    </xdr:from>
    <xdr:to>
      <xdr:col>0</xdr:col>
      <xdr:colOff>1433195</xdr:colOff>
      <xdr:row>144</xdr:row>
      <xdr:rowOff>1282700</xdr:rowOff>
    </xdr:to>
    <xdr:pic>
      <xdr:nvPicPr>
        <xdr:cNvPr id="19" name="图片 18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26035" y="69330570"/>
          <a:ext cx="1407160" cy="12306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56515</xdr:colOff>
      <xdr:row>44</xdr:row>
      <xdr:rowOff>548640</xdr:rowOff>
    </xdr:from>
    <xdr:to>
      <xdr:col>0</xdr:col>
      <xdr:colOff>1515745</xdr:colOff>
      <xdr:row>46</xdr:row>
      <xdr:rowOff>479425</xdr:rowOff>
    </xdr:to>
    <xdr:pic>
      <xdr:nvPicPr>
        <xdr:cNvPr id="18" name="图片 17"/>
        <xdr:cNvPicPr>
          <a:picLocks noChangeAspect="1"/>
        </xdr:cNvPicPr>
      </xdr:nvPicPr>
      <xdr:blipFill>
        <a:blip r:embed="rId59"/>
        <a:stretch>
          <a:fillRect/>
        </a:stretch>
      </xdr:blipFill>
      <xdr:spPr>
        <a:xfrm>
          <a:off x="56515" y="21071840"/>
          <a:ext cx="1459230" cy="1251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53975</xdr:colOff>
      <xdr:row>46</xdr:row>
      <xdr:rowOff>539115</xdr:rowOff>
    </xdr:from>
    <xdr:to>
      <xdr:col>0</xdr:col>
      <xdr:colOff>1532255</xdr:colOff>
      <xdr:row>48</xdr:row>
      <xdr:rowOff>568325</xdr:rowOff>
    </xdr:to>
    <xdr:pic>
      <xdr:nvPicPr>
        <xdr:cNvPr id="22" name="图片 21"/>
        <xdr:cNvPicPr>
          <a:picLocks noChangeAspect="1"/>
        </xdr:cNvPicPr>
      </xdr:nvPicPr>
      <xdr:blipFill>
        <a:blip r:embed="rId60"/>
        <a:stretch>
          <a:fillRect/>
        </a:stretch>
      </xdr:blipFill>
      <xdr:spPr>
        <a:xfrm>
          <a:off x="53975" y="22383115"/>
          <a:ext cx="1478280" cy="13500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38100</xdr:colOff>
      <xdr:row>3</xdr:row>
      <xdr:rowOff>69850</xdr:rowOff>
    </xdr:from>
    <xdr:to>
      <xdr:col>0</xdr:col>
      <xdr:colOff>1423035</xdr:colOff>
      <xdr:row>5</xdr:row>
      <xdr:rowOff>403860</xdr:rowOff>
    </xdr:to>
    <xdr:pic>
      <xdr:nvPicPr>
        <xdr:cNvPr id="2" name="图片 1"/>
        <xdr:cNvPicPr>
          <a:picLocks noChangeAspect="1"/>
        </xdr:cNvPicPr>
      </xdr:nvPicPr>
      <xdr:blipFill>
        <a:blip r:embed="rId61"/>
        <a:stretch>
          <a:fillRect/>
        </a:stretch>
      </xdr:blipFill>
      <xdr:spPr>
        <a:xfrm>
          <a:off x="38100" y="3016250"/>
          <a:ext cx="1384935" cy="12484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87630</xdr:colOff>
      <xdr:row>148</xdr:row>
      <xdr:rowOff>42545</xdr:rowOff>
    </xdr:from>
    <xdr:to>
      <xdr:col>0</xdr:col>
      <xdr:colOff>1466850</xdr:colOff>
      <xdr:row>148</xdr:row>
      <xdr:rowOff>1305560</xdr:rowOff>
    </xdr:to>
    <xdr:pic>
      <xdr:nvPicPr>
        <xdr:cNvPr id="4" name="图片 3"/>
        <xdr:cNvPicPr>
          <a:picLocks noChangeAspect="1"/>
        </xdr:cNvPicPr>
      </xdr:nvPicPr>
      <xdr:blipFill>
        <a:blip r:embed="rId62"/>
        <a:stretch>
          <a:fillRect/>
        </a:stretch>
      </xdr:blipFill>
      <xdr:spPr>
        <a:xfrm>
          <a:off x="87630" y="72419845"/>
          <a:ext cx="1379220" cy="1263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635</xdr:colOff>
      <xdr:row>145</xdr:row>
      <xdr:rowOff>87630</xdr:rowOff>
    </xdr:from>
    <xdr:to>
      <xdr:col>0</xdr:col>
      <xdr:colOff>1480185</xdr:colOff>
      <xdr:row>147</xdr:row>
      <xdr:rowOff>247650</xdr:rowOff>
    </xdr:to>
    <xdr:pic>
      <xdr:nvPicPr>
        <xdr:cNvPr id="8" name="图片 7"/>
        <xdr:cNvPicPr>
          <a:picLocks noChangeAspect="1"/>
        </xdr:cNvPicPr>
      </xdr:nvPicPr>
      <xdr:blipFill>
        <a:blip r:embed="rId63"/>
        <a:stretch>
          <a:fillRect/>
        </a:stretch>
      </xdr:blipFill>
      <xdr:spPr>
        <a:xfrm>
          <a:off x="635" y="70750430"/>
          <a:ext cx="1479550" cy="13030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11</xdr:col>
      <xdr:colOff>0</xdr:colOff>
      <xdr:row>146</xdr:row>
      <xdr:rowOff>2540</xdr:rowOff>
    </xdr:from>
    <xdr:to>
      <xdr:col>12</xdr:col>
      <xdr:colOff>153035</xdr:colOff>
      <xdr:row>148</xdr:row>
      <xdr:rowOff>280035</xdr:rowOff>
    </xdr:to>
    <xdr:pic>
      <xdr:nvPicPr>
        <xdr:cNvPr id="20" name="图片 19"/>
        <xdr:cNvPicPr>
          <a:picLocks noChangeAspect="1"/>
        </xdr:cNvPicPr>
      </xdr:nvPicPr>
      <xdr:blipFill>
        <a:blip r:embed="rId64"/>
        <a:stretch>
          <a:fillRect/>
        </a:stretch>
      </xdr:blipFill>
      <xdr:spPr>
        <a:xfrm>
          <a:off x="13075285" y="71236840"/>
          <a:ext cx="1524635" cy="14204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28575</xdr:colOff>
      <xdr:row>2</xdr:row>
      <xdr:rowOff>50165</xdr:rowOff>
    </xdr:from>
    <xdr:to>
      <xdr:col>0</xdr:col>
      <xdr:colOff>1381125</xdr:colOff>
      <xdr:row>2</xdr:row>
      <xdr:rowOff>1353820</xdr:rowOff>
    </xdr:to>
    <xdr:pic>
      <xdr:nvPicPr>
        <xdr:cNvPr id="21" name="图片 20"/>
        <xdr:cNvPicPr>
          <a:picLocks noChangeAspect="1"/>
        </xdr:cNvPicPr>
      </xdr:nvPicPr>
      <xdr:blipFill>
        <a:blip r:embed="rId65"/>
        <a:stretch>
          <a:fillRect/>
        </a:stretch>
      </xdr:blipFill>
      <xdr:spPr>
        <a:xfrm>
          <a:off x="28575" y="1586865"/>
          <a:ext cx="1352550" cy="130365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26</xdr:row>
      <xdr:rowOff>123825</xdr:rowOff>
    </xdr:from>
    <xdr:to>
      <xdr:col>0</xdr:col>
      <xdr:colOff>1506855</xdr:colOff>
      <xdr:row>30</xdr:row>
      <xdr:rowOff>208915</xdr:rowOff>
    </xdr:to>
    <xdr:pic>
      <xdr:nvPicPr>
        <xdr:cNvPr id="18440" name="图片 9"/>
        <xdr:cNvPicPr>
          <a:picLocks noChangeAspect="1"/>
        </xdr:cNvPicPr>
      </xdr:nvPicPr>
      <xdr:blipFill>
        <a:blip r:embed="rId1">
          <a:lum/>
        </a:blip>
        <a:srcRect l="11333" t="6078" r="11864" b="2289"/>
        <a:stretch>
          <a:fillRect/>
        </a:stretch>
      </xdr:blipFill>
      <xdr:spPr>
        <a:xfrm>
          <a:off x="635" y="11160125"/>
          <a:ext cx="1506220" cy="13550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733425</xdr:colOff>
      <xdr:row>0</xdr:row>
      <xdr:rowOff>85725</xdr:rowOff>
    </xdr:from>
    <xdr:to>
      <xdr:col>5</xdr:col>
      <xdr:colOff>448310</xdr:colOff>
      <xdr:row>0</xdr:row>
      <xdr:rowOff>1274445</xdr:rowOff>
    </xdr:to>
    <xdr:pic>
      <xdr:nvPicPr>
        <xdr:cNvPr id="18441" name="图片 10"/>
        <xdr:cNvPicPr>
          <a:picLocks noChangeAspect="1"/>
        </xdr:cNvPicPr>
      </xdr:nvPicPr>
      <xdr:blipFill>
        <a:blip r:embed="rId2">
          <a:lum/>
        </a:blip>
        <a:stretch>
          <a:fillRect/>
        </a:stretch>
      </xdr:blipFill>
      <xdr:spPr>
        <a:xfrm>
          <a:off x="4799330" y="85725"/>
          <a:ext cx="1581785" cy="11887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256540</xdr:colOff>
      <xdr:row>2</xdr:row>
      <xdr:rowOff>37465</xdr:rowOff>
    </xdr:from>
    <xdr:to>
      <xdr:col>0</xdr:col>
      <xdr:colOff>1723390</xdr:colOff>
      <xdr:row>6</xdr:row>
      <xdr:rowOff>170815</xdr:rowOff>
    </xdr:to>
    <xdr:pic>
      <xdr:nvPicPr>
        <xdr:cNvPr id="9217" name="图片 1"/>
        <xdr:cNvPicPr>
          <a:picLocks noChangeAspect="1"/>
        </xdr:cNvPicPr>
      </xdr:nvPicPr>
      <xdr:blipFill>
        <a:blip r:embed="rId3">
          <a:lum/>
        </a:blip>
        <a:stretch>
          <a:fillRect/>
        </a:stretch>
      </xdr:blipFill>
      <xdr:spPr>
        <a:xfrm>
          <a:off x="256540" y="1663065"/>
          <a:ext cx="1466850" cy="1454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240030</xdr:colOff>
      <xdr:row>6</xdr:row>
      <xdr:rowOff>180975</xdr:rowOff>
    </xdr:from>
    <xdr:to>
      <xdr:col>0</xdr:col>
      <xdr:colOff>1725930</xdr:colOff>
      <xdr:row>10</xdr:row>
      <xdr:rowOff>314325</xdr:rowOff>
    </xdr:to>
    <xdr:pic>
      <xdr:nvPicPr>
        <xdr:cNvPr id="9218" name="图片 2"/>
        <xdr:cNvPicPr>
          <a:picLocks noChangeAspect="1"/>
        </xdr:cNvPicPr>
      </xdr:nvPicPr>
      <xdr:blipFill>
        <a:blip r:embed="rId4">
          <a:lum/>
        </a:blip>
        <a:stretch>
          <a:fillRect/>
        </a:stretch>
      </xdr:blipFill>
      <xdr:spPr>
        <a:xfrm>
          <a:off x="240030" y="3127375"/>
          <a:ext cx="1485900" cy="1454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241935</xdr:colOff>
      <xdr:row>18</xdr:row>
      <xdr:rowOff>62865</xdr:rowOff>
    </xdr:from>
    <xdr:to>
      <xdr:col>0</xdr:col>
      <xdr:colOff>1708785</xdr:colOff>
      <xdr:row>21</xdr:row>
      <xdr:rowOff>358140</xdr:rowOff>
    </xdr:to>
    <xdr:pic>
      <xdr:nvPicPr>
        <xdr:cNvPr id="9220" name="图片 4"/>
        <xdr:cNvPicPr>
          <a:picLocks noChangeAspect="1"/>
        </xdr:cNvPicPr>
      </xdr:nvPicPr>
      <xdr:blipFill>
        <a:blip r:embed="rId5">
          <a:lum/>
        </a:blip>
        <a:stretch>
          <a:fillRect/>
        </a:stretch>
      </xdr:blipFill>
      <xdr:spPr>
        <a:xfrm>
          <a:off x="241935" y="7835265"/>
          <a:ext cx="1466850" cy="1438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184785</xdr:colOff>
      <xdr:row>22</xdr:row>
      <xdr:rowOff>107950</xdr:rowOff>
    </xdr:from>
    <xdr:to>
      <xdr:col>0</xdr:col>
      <xdr:colOff>1699260</xdr:colOff>
      <xdr:row>25</xdr:row>
      <xdr:rowOff>288925</xdr:rowOff>
    </xdr:to>
    <xdr:pic>
      <xdr:nvPicPr>
        <xdr:cNvPr id="9221" name="图片 5"/>
        <xdr:cNvPicPr>
          <a:picLocks noChangeAspect="1"/>
        </xdr:cNvPicPr>
      </xdr:nvPicPr>
      <xdr:blipFill>
        <a:blip r:embed="rId6">
          <a:lum/>
        </a:blip>
        <a:stretch>
          <a:fillRect/>
        </a:stretch>
      </xdr:blipFill>
      <xdr:spPr>
        <a:xfrm>
          <a:off x="184785" y="9467850"/>
          <a:ext cx="1514475" cy="1438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0</xdr:colOff>
      <xdr:row>26</xdr:row>
      <xdr:rowOff>47625</xdr:rowOff>
    </xdr:from>
    <xdr:to>
      <xdr:col>12</xdr:col>
      <xdr:colOff>104775</xdr:colOff>
      <xdr:row>30</xdr:row>
      <xdr:rowOff>222250</xdr:rowOff>
    </xdr:to>
    <xdr:pic>
      <xdr:nvPicPr>
        <xdr:cNvPr id="9224" name="图片 8"/>
        <xdr:cNvPicPr>
          <a:picLocks noChangeAspect="1"/>
        </xdr:cNvPicPr>
      </xdr:nvPicPr>
      <xdr:blipFill>
        <a:blip r:embed="rId7">
          <a:lum/>
        </a:blip>
        <a:stretch>
          <a:fillRect/>
        </a:stretch>
      </xdr:blipFill>
      <xdr:spPr>
        <a:xfrm>
          <a:off x="11151235" y="11083925"/>
          <a:ext cx="1476375" cy="1444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38100</xdr:colOff>
      <xdr:row>32</xdr:row>
      <xdr:rowOff>66675</xdr:rowOff>
    </xdr:from>
    <xdr:to>
      <xdr:col>0</xdr:col>
      <xdr:colOff>1504950</xdr:colOff>
      <xdr:row>37</xdr:row>
      <xdr:rowOff>123825</xdr:rowOff>
    </xdr:to>
    <xdr:pic>
      <xdr:nvPicPr>
        <xdr:cNvPr id="9225" name="图片 9"/>
        <xdr:cNvPicPr>
          <a:picLocks noChangeAspect="1"/>
        </xdr:cNvPicPr>
      </xdr:nvPicPr>
      <xdr:blipFill>
        <a:blip r:embed="rId8">
          <a:lum/>
        </a:blip>
        <a:stretch>
          <a:fillRect/>
        </a:stretch>
      </xdr:blipFill>
      <xdr:spPr>
        <a:xfrm>
          <a:off x="38100" y="13007975"/>
          <a:ext cx="1466850" cy="14541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66675</xdr:colOff>
      <xdr:row>38</xdr:row>
      <xdr:rowOff>57150</xdr:rowOff>
    </xdr:from>
    <xdr:to>
      <xdr:col>0</xdr:col>
      <xdr:colOff>1524000</xdr:colOff>
      <xdr:row>41</xdr:row>
      <xdr:rowOff>352425</xdr:rowOff>
    </xdr:to>
    <xdr:pic>
      <xdr:nvPicPr>
        <xdr:cNvPr id="9226" name="图片 10"/>
        <xdr:cNvPicPr>
          <a:picLocks noChangeAspect="1"/>
        </xdr:cNvPicPr>
      </xdr:nvPicPr>
      <xdr:blipFill>
        <a:blip r:embed="rId9">
          <a:lum/>
        </a:blip>
        <a:stretch>
          <a:fillRect/>
        </a:stretch>
      </xdr:blipFill>
      <xdr:spPr>
        <a:xfrm>
          <a:off x="66675" y="14674850"/>
          <a:ext cx="1457325" cy="14382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160020</xdr:colOff>
      <xdr:row>16</xdr:row>
      <xdr:rowOff>81915</xdr:rowOff>
    </xdr:from>
    <xdr:to>
      <xdr:col>0</xdr:col>
      <xdr:colOff>1658620</xdr:colOff>
      <xdr:row>17</xdr:row>
      <xdr:rowOff>688975</xdr:rowOff>
    </xdr:to>
    <xdr:pic>
      <xdr:nvPicPr>
        <xdr:cNvPr id="3" name="图片 2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60020" y="6330315"/>
          <a:ext cx="1498600" cy="1369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106680</xdr:colOff>
      <xdr:row>11</xdr:row>
      <xdr:rowOff>129540</xdr:rowOff>
    </xdr:from>
    <xdr:to>
      <xdr:col>0</xdr:col>
      <xdr:colOff>1728470</xdr:colOff>
      <xdr:row>15</xdr:row>
      <xdr:rowOff>251460</xdr:rowOff>
    </xdr:to>
    <xdr:pic>
      <xdr:nvPicPr>
        <xdr:cNvPr id="4" name="图片 3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06680" y="4726940"/>
          <a:ext cx="1621790" cy="144272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207645</xdr:colOff>
      <xdr:row>31</xdr:row>
      <xdr:rowOff>31115</xdr:rowOff>
    </xdr:from>
    <xdr:to>
      <xdr:col>0</xdr:col>
      <xdr:colOff>1588770</xdr:colOff>
      <xdr:row>32</xdr:row>
      <xdr:rowOff>602615</xdr:rowOff>
    </xdr:to>
    <xdr:pic>
      <xdr:nvPicPr>
        <xdr:cNvPr id="20480" name="图片 1" descr="246e81a48ed9cbdf475fb5864f23e75"/>
        <xdr:cNvPicPr>
          <a:picLocks noChangeAspect="1"/>
        </xdr:cNvPicPr>
      </xdr:nvPicPr>
      <xdr:blipFill>
        <a:blip r:embed="rId1">
          <a:lum/>
        </a:blip>
        <a:srcRect l="8248" r="9892" b="1898"/>
        <a:stretch>
          <a:fillRect/>
        </a:stretch>
      </xdr:blipFill>
      <xdr:spPr>
        <a:xfrm>
          <a:off x="207645" y="17125315"/>
          <a:ext cx="1381125" cy="1257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200025</xdr:colOff>
      <xdr:row>3</xdr:row>
      <xdr:rowOff>66675</xdr:rowOff>
    </xdr:from>
    <xdr:to>
      <xdr:col>0</xdr:col>
      <xdr:colOff>1619250</xdr:colOff>
      <xdr:row>4</xdr:row>
      <xdr:rowOff>619125</xdr:rowOff>
    </xdr:to>
    <xdr:pic>
      <xdr:nvPicPr>
        <xdr:cNvPr id="20483" name="图片 4" descr="a54f50e44343f8b2fa997b012737f4b"/>
        <xdr:cNvPicPr>
          <a:picLocks noChangeAspect="1"/>
        </xdr:cNvPicPr>
      </xdr:nvPicPr>
      <xdr:blipFill>
        <a:blip r:embed="rId2">
          <a:lum/>
        </a:blip>
        <a:srcRect l="7260" r="8414" b="5295"/>
        <a:stretch>
          <a:fillRect/>
        </a:stretch>
      </xdr:blipFill>
      <xdr:spPr>
        <a:xfrm>
          <a:off x="200025" y="2987675"/>
          <a:ext cx="1419225" cy="1263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167005</xdr:colOff>
      <xdr:row>27</xdr:row>
      <xdr:rowOff>26670</xdr:rowOff>
    </xdr:from>
    <xdr:to>
      <xdr:col>0</xdr:col>
      <xdr:colOff>1533525</xdr:colOff>
      <xdr:row>30</xdr:row>
      <xdr:rowOff>299085</xdr:rowOff>
    </xdr:to>
    <xdr:pic>
      <xdr:nvPicPr>
        <xdr:cNvPr id="20481" name="图片 2" descr="0337e7c1faef41427e5e05c503cb58f"/>
        <xdr:cNvPicPr>
          <a:picLocks noChangeAspect="1"/>
        </xdr:cNvPicPr>
      </xdr:nvPicPr>
      <xdr:blipFill>
        <a:blip r:embed="rId3">
          <a:lum/>
        </a:blip>
        <a:srcRect l="11879" r="10626" b="2695"/>
        <a:stretch>
          <a:fillRect/>
        </a:stretch>
      </xdr:blipFill>
      <xdr:spPr>
        <a:xfrm>
          <a:off x="167005" y="15749270"/>
          <a:ext cx="1366520" cy="13011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0</xdr:colOff>
      <xdr:row>27</xdr:row>
      <xdr:rowOff>66675</xdr:rowOff>
    </xdr:from>
    <xdr:to>
      <xdr:col>11</xdr:col>
      <xdr:colOff>672465</xdr:colOff>
      <xdr:row>30</xdr:row>
      <xdr:rowOff>332740</xdr:rowOff>
    </xdr:to>
    <xdr:pic>
      <xdr:nvPicPr>
        <xdr:cNvPr id="20485" name="图片 6" descr="206266c216f69ed384d54f0c7543ddc"/>
        <xdr:cNvPicPr>
          <a:picLocks noChangeAspect="1"/>
        </xdr:cNvPicPr>
      </xdr:nvPicPr>
      <xdr:blipFill>
        <a:blip r:embed="rId4">
          <a:lum/>
        </a:blip>
        <a:srcRect l="11836" r="11458" b="2567"/>
        <a:stretch>
          <a:fillRect/>
        </a:stretch>
      </xdr:blipFill>
      <xdr:spPr>
        <a:xfrm>
          <a:off x="11656695" y="15789275"/>
          <a:ext cx="1358265" cy="1294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263525</xdr:colOff>
      <xdr:row>6</xdr:row>
      <xdr:rowOff>14605</xdr:rowOff>
    </xdr:from>
    <xdr:to>
      <xdr:col>0</xdr:col>
      <xdr:colOff>1616075</xdr:colOff>
      <xdr:row>6</xdr:row>
      <xdr:rowOff>1376680</xdr:rowOff>
    </xdr:to>
    <xdr:pic>
      <xdr:nvPicPr>
        <xdr:cNvPr id="20482" name="图片 3" descr="99bd50a040c1336f3bc9e0fe494bf89"/>
        <xdr:cNvPicPr>
          <a:picLocks noChangeAspect="1"/>
        </xdr:cNvPicPr>
      </xdr:nvPicPr>
      <xdr:blipFill>
        <a:blip r:embed="rId5">
          <a:lum/>
        </a:blip>
        <a:stretch>
          <a:fillRect/>
        </a:stretch>
      </xdr:blipFill>
      <xdr:spPr>
        <a:xfrm>
          <a:off x="263525" y="5691505"/>
          <a:ext cx="1352550" cy="1362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184785</xdr:colOff>
      <xdr:row>13</xdr:row>
      <xdr:rowOff>74295</xdr:rowOff>
    </xdr:from>
    <xdr:to>
      <xdr:col>0</xdr:col>
      <xdr:colOff>1655445</xdr:colOff>
      <xdr:row>17</xdr:row>
      <xdr:rowOff>271145</xdr:rowOff>
    </xdr:to>
    <xdr:pic>
      <xdr:nvPicPr>
        <xdr:cNvPr id="20486" name="图片 7" descr="261602e61c3f4ad01b2dc3761487403"/>
        <xdr:cNvPicPr>
          <a:picLocks noChangeAspect="1"/>
        </xdr:cNvPicPr>
      </xdr:nvPicPr>
      <xdr:blipFill>
        <a:blip r:embed="rId6">
          <a:lum/>
        </a:blip>
        <a:srcRect l="5074" r="5299"/>
        <a:stretch>
          <a:fillRect/>
        </a:stretch>
      </xdr:blipFill>
      <xdr:spPr>
        <a:xfrm>
          <a:off x="184785" y="8710295"/>
          <a:ext cx="1470660" cy="1314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217170</xdr:colOff>
      <xdr:row>7</xdr:row>
      <xdr:rowOff>17145</xdr:rowOff>
    </xdr:from>
    <xdr:to>
      <xdr:col>0</xdr:col>
      <xdr:colOff>1626870</xdr:colOff>
      <xdr:row>12</xdr:row>
      <xdr:rowOff>29845</xdr:rowOff>
    </xdr:to>
    <xdr:pic>
      <xdr:nvPicPr>
        <xdr:cNvPr id="20490" name="图片 11" descr="fd03adc4880775dc2d2a93a077f0b34"/>
        <xdr:cNvPicPr>
          <a:picLocks noChangeAspect="1"/>
        </xdr:cNvPicPr>
      </xdr:nvPicPr>
      <xdr:blipFill>
        <a:blip r:embed="rId7">
          <a:lum/>
        </a:blip>
        <a:srcRect l="7796" r="8899"/>
        <a:stretch>
          <a:fillRect/>
        </a:stretch>
      </xdr:blipFill>
      <xdr:spPr>
        <a:xfrm>
          <a:off x="217170" y="7129145"/>
          <a:ext cx="1409700" cy="1282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0</xdr:colOff>
      <xdr:row>21</xdr:row>
      <xdr:rowOff>83185</xdr:rowOff>
    </xdr:from>
    <xdr:to>
      <xdr:col>12</xdr:col>
      <xdr:colOff>47625</xdr:colOff>
      <xdr:row>22</xdr:row>
      <xdr:rowOff>626110</xdr:rowOff>
    </xdr:to>
    <xdr:pic>
      <xdr:nvPicPr>
        <xdr:cNvPr id="20491" name="图片 12"/>
        <xdr:cNvPicPr>
          <a:picLocks noChangeAspect="1"/>
        </xdr:cNvPicPr>
      </xdr:nvPicPr>
      <xdr:blipFill>
        <a:blip r:embed="rId8">
          <a:lum/>
        </a:blip>
        <a:stretch>
          <a:fillRect/>
        </a:stretch>
      </xdr:blipFill>
      <xdr:spPr>
        <a:xfrm>
          <a:off x="11656695" y="11894185"/>
          <a:ext cx="1419225" cy="1254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152400</xdr:colOff>
      <xdr:row>21</xdr:row>
      <xdr:rowOff>47625</xdr:rowOff>
    </xdr:from>
    <xdr:to>
      <xdr:col>0</xdr:col>
      <xdr:colOff>1600200</xdr:colOff>
      <xdr:row>22</xdr:row>
      <xdr:rowOff>676275</xdr:rowOff>
    </xdr:to>
    <xdr:pic>
      <xdr:nvPicPr>
        <xdr:cNvPr id="20489" name="图片 10"/>
        <xdr:cNvPicPr>
          <a:picLocks noChangeAspect="1"/>
        </xdr:cNvPicPr>
      </xdr:nvPicPr>
      <xdr:blipFill>
        <a:blip r:embed="rId9">
          <a:lum/>
        </a:blip>
        <a:stretch>
          <a:fillRect/>
        </a:stretch>
      </xdr:blipFill>
      <xdr:spPr>
        <a:xfrm>
          <a:off x="152400" y="11858625"/>
          <a:ext cx="1447800" cy="1339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285750</xdr:colOff>
      <xdr:row>23</xdr:row>
      <xdr:rowOff>38100</xdr:rowOff>
    </xdr:from>
    <xdr:to>
      <xdr:col>0</xdr:col>
      <xdr:colOff>1571625</xdr:colOff>
      <xdr:row>24</xdr:row>
      <xdr:rowOff>610235</xdr:rowOff>
    </xdr:to>
    <xdr:pic>
      <xdr:nvPicPr>
        <xdr:cNvPr id="20487" name="图片 8"/>
        <xdr:cNvPicPr>
          <a:picLocks noChangeAspect="1"/>
        </xdr:cNvPicPr>
      </xdr:nvPicPr>
      <xdr:blipFill>
        <a:blip r:embed="rId10">
          <a:lum/>
        </a:blip>
        <a:srcRect l="10579" t="2661" r="11909" b="1538"/>
        <a:stretch>
          <a:fillRect/>
        </a:stretch>
      </xdr:blipFill>
      <xdr:spPr>
        <a:xfrm>
          <a:off x="285750" y="13271500"/>
          <a:ext cx="1285875" cy="11944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313055</xdr:colOff>
      <xdr:row>25</xdr:row>
      <xdr:rowOff>14605</xdr:rowOff>
    </xdr:from>
    <xdr:to>
      <xdr:col>0</xdr:col>
      <xdr:colOff>1570355</xdr:colOff>
      <xdr:row>26</xdr:row>
      <xdr:rowOff>619125</xdr:rowOff>
    </xdr:to>
    <xdr:pic>
      <xdr:nvPicPr>
        <xdr:cNvPr id="20495" name="图片 16" descr="4ddf0c4573add84468273d077624eab"/>
        <xdr:cNvPicPr>
          <a:picLocks noChangeAspect="1"/>
        </xdr:cNvPicPr>
      </xdr:nvPicPr>
      <xdr:blipFill>
        <a:blip r:embed="rId11">
          <a:lum/>
        </a:blip>
        <a:srcRect l="15993" r="5528"/>
        <a:stretch>
          <a:fillRect/>
        </a:stretch>
      </xdr:blipFill>
      <xdr:spPr>
        <a:xfrm>
          <a:off x="313055" y="14492605"/>
          <a:ext cx="1257300" cy="12268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0</xdr:colOff>
      <xdr:row>7</xdr:row>
      <xdr:rowOff>76835</xdr:rowOff>
    </xdr:from>
    <xdr:to>
      <xdr:col>11</xdr:col>
      <xdr:colOff>552450</xdr:colOff>
      <xdr:row>11</xdr:row>
      <xdr:rowOff>248285</xdr:rowOff>
    </xdr:to>
    <xdr:pic>
      <xdr:nvPicPr>
        <xdr:cNvPr id="20494" name="图片 15"/>
        <xdr:cNvPicPr>
          <a:picLocks noChangeAspect="1"/>
        </xdr:cNvPicPr>
      </xdr:nvPicPr>
      <xdr:blipFill>
        <a:blip r:embed="rId12">
          <a:lum/>
        </a:blip>
        <a:srcRect l="10933" r="10068"/>
        <a:stretch>
          <a:fillRect/>
        </a:stretch>
      </xdr:blipFill>
      <xdr:spPr>
        <a:xfrm>
          <a:off x="11656695" y="7188835"/>
          <a:ext cx="1238250" cy="1187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3</xdr:col>
      <xdr:colOff>581025</xdr:colOff>
      <xdr:row>0</xdr:row>
      <xdr:rowOff>9525</xdr:rowOff>
    </xdr:from>
    <xdr:to>
      <xdr:col>5</xdr:col>
      <xdr:colOff>497840</xdr:colOff>
      <xdr:row>0</xdr:row>
      <xdr:rowOff>1000125</xdr:rowOff>
    </xdr:to>
    <xdr:pic>
      <xdr:nvPicPr>
        <xdr:cNvPr id="20496" name="图片 17"/>
        <xdr:cNvPicPr>
          <a:picLocks noChangeAspect="1"/>
        </xdr:cNvPicPr>
      </xdr:nvPicPr>
      <xdr:blipFill>
        <a:blip r:embed="rId13">
          <a:lum/>
        </a:blip>
        <a:srcRect t="24603" b="25941"/>
        <a:stretch>
          <a:fillRect/>
        </a:stretch>
      </xdr:blipFill>
      <xdr:spPr>
        <a:xfrm>
          <a:off x="5729605" y="9525"/>
          <a:ext cx="1648460" cy="990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238125</xdr:colOff>
      <xdr:row>2</xdr:row>
      <xdr:rowOff>28575</xdr:rowOff>
    </xdr:from>
    <xdr:to>
      <xdr:col>0</xdr:col>
      <xdr:colOff>1628775</xdr:colOff>
      <xdr:row>2</xdr:row>
      <xdr:rowOff>1398905</xdr:rowOff>
    </xdr:to>
    <xdr:pic>
      <xdr:nvPicPr>
        <xdr:cNvPr id="10241" name="图片 1"/>
        <xdr:cNvPicPr>
          <a:picLocks noChangeAspect="1"/>
        </xdr:cNvPicPr>
      </xdr:nvPicPr>
      <xdr:blipFill>
        <a:blip r:embed="rId14">
          <a:lum/>
        </a:blip>
        <a:stretch>
          <a:fillRect/>
        </a:stretch>
      </xdr:blipFill>
      <xdr:spPr>
        <a:xfrm>
          <a:off x="238125" y="1463675"/>
          <a:ext cx="1390650" cy="13703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189865</xdr:colOff>
      <xdr:row>19</xdr:row>
      <xdr:rowOff>27940</xdr:rowOff>
    </xdr:from>
    <xdr:to>
      <xdr:col>0</xdr:col>
      <xdr:colOff>1618615</xdr:colOff>
      <xdr:row>20</xdr:row>
      <xdr:rowOff>701040</xdr:rowOff>
    </xdr:to>
    <xdr:pic>
      <xdr:nvPicPr>
        <xdr:cNvPr id="10243" name="图片 3"/>
        <xdr:cNvPicPr>
          <a:picLocks noChangeAspect="1"/>
        </xdr:cNvPicPr>
      </xdr:nvPicPr>
      <xdr:blipFill>
        <a:blip r:embed="rId15">
          <a:lum/>
        </a:blip>
        <a:stretch>
          <a:fillRect/>
        </a:stretch>
      </xdr:blipFill>
      <xdr:spPr>
        <a:xfrm>
          <a:off x="189865" y="10340340"/>
          <a:ext cx="1428750" cy="1422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191135</xdr:colOff>
      <xdr:row>5</xdr:row>
      <xdr:rowOff>34290</xdr:rowOff>
    </xdr:from>
    <xdr:to>
      <xdr:col>0</xdr:col>
      <xdr:colOff>1645920</xdr:colOff>
      <xdr:row>5</xdr:row>
      <xdr:rowOff>1318260</xdr:rowOff>
    </xdr:to>
    <xdr:pic>
      <xdr:nvPicPr>
        <xdr:cNvPr id="2" name="图片 1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91135" y="4377690"/>
          <a:ext cx="1454785" cy="128397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114300</xdr:colOff>
      <xdr:row>11</xdr:row>
      <xdr:rowOff>0</xdr:rowOff>
    </xdr:from>
    <xdr:to>
      <xdr:col>0</xdr:col>
      <xdr:colOff>1666875</xdr:colOff>
      <xdr:row>12</xdr:row>
      <xdr:rowOff>749300</xdr:rowOff>
    </xdr:to>
    <xdr:pic>
      <xdr:nvPicPr>
        <xdr:cNvPr id="22534" name="图片 7" descr="1649398630(1)"/>
        <xdr:cNvPicPr>
          <a:picLocks noChangeAspect="1"/>
        </xdr:cNvPicPr>
      </xdr:nvPicPr>
      <xdr:blipFill>
        <a:blip r:embed="rId1">
          <a:lum/>
        </a:blip>
        <a:stretch>
          <a:fillRect/>
        </a:stretch>
      </xdr:blipFill>
      <xdr:spPr>
        <a:xfrm>
          <a:off x="114300" y="4864100"/>
          <a:ext cx="1552575" cy="15240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114300</xdr:colOff>
      <xdr:row>2</xdr:row>
      <xdr:rowOff>47625</xdr:rowOff>
    </xdr:from>
    <xdr:to>
      <xdr:col>0</xdr:col>
      <xdr:colOff>1704975</xdr:colOff>
      <xdr:row>5</xdr:row>
      <xdr:rowOff>142875</xdr:rowOff>
    </xdr:to>
    <xdr:pic>
      <xdr:nvPicPr>
        <xdr:cNvPr id="22533" name="图片 6"/>
        <xdr:cNvPicPr>
          <a:picLocks noChangeAspect="1"/>
        </xdr:cNvPicPr>
      </xdr:nvPicPr>
      <xdr:blipFill>
        <a:blip r:embed="rId2">
          <a:lum/>
        </a:blip>
        <a:stretch>
          <a:fillRect/>
        </a:stretch>
      </xdr:blipFill>
      <xdr:spPr>
        <a:xfrm>
          <a:off x="114300" y="1444625"/>
          <a:ext cx="1590675" cy="1504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648335</xdr:colOff>
      <xdr:row>0</xdr:row>
      <xdr:rowOff>635</xdr:rowOff>
    </xdr:from>
    <xdr:to>
      <xdr:col>7</xdr:col>
      <xdr:colOff>135890</xdr:colOff>
      <xdr:row>0</xdr:row>
      <xdr:rowOff>934085</xdr:rowOff>
    </xdr:to>
    <xdr:pic>
      <xdr:nvPicPr>
        <xdr:cNvPr id="22535" name="图片 8"/>
        <xdr:cNvPicPr>
          <a:picLocks noChangeAspect="1"/>
        </xdr:cNvPicPr>
      </xdr:nvPicPr>
      <xdr:blipFill>
        <a:blip r:embed="rId3">
          <a:lum/>
        </a:blip>
        <a:stretch>
          <a:fillRect/>
        </a:stretch>
      </xdr:blipFill>
      <xdr:spPr>
        <a:xfrm>
          <a:off x="6039485" y="635"/>
          <a:ext cx="2038350" cy="9334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219075</xdr:colOff>
      <xdr:row>6</xdr:row>
      <xdr:rowOff>28575</xdr:rowOff>
    </xdr:from>
    <xdr:to>
      <xdr:col>0</xdr:col>
      <xdr:colOff>1676400</xdr:colOff>
      <xdr:row>10</xdr:row>
      <xdr:rowOff>209550</xdr:rowOff>
    </xdr:to>
    <xdr:pic>
      <xdr:nvPicPr>
        <xdr:cNvPr id="11266" name="图片 2"/>
        <xdr:cNvPicPr>
          <a:picLocks noChangeAspect="1"/>
        </xdr:cNvPicPr>
      </xdr:nvPicPr>
      <xdr:blipFill>
        <a:blip r:embed="rId4">
          <a:lum/>
        </a:blip>
        <a:stretch>
          <a:fillRect/>
        </a:stretch>
      </xdr:blipFill>
      <xdr:spPr>
        <a:xfrm>
          <a:off x="219075" y="3305175"/>
          <a:ext cx="1457325" cy="145097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200025</xdr:colOff>
      <xdr:row>2</xdr:row>
      <xdr:rowOff>9525</xdr:rowOff>
    </xdr:from>
    <xdr:to>
      <xdr:col>0</xdr:col>
      <xdr:colOff>1419225</xdr:colOff>
      <xdr:row>3</xdr:row>
      <xdr:rowOff>561975</xdr:rowOff>
    </xdr:to>
    <xdr:pic>
      <xdr:nvPicPr>
        <xdr:cNvPr id="13313" name="图片 1"/>
        <xdr:cNvPicPr>
          <a:picLocks noChangeAspect="1"/>
        </xdr:cNvPicPr>
      </xdr:nvPicPr>
      <xdr:blipFill>
        <a:blip r:embed="rId1">
          <a:lum/>
        </a:blip>
        <a:stretch>
          <a:fillRect/>
        </a:stretch>
      </xdr:blipFill>
      <xdr:spPr>
        <a:xfrm>
          <a:off x="200025" y="1241425"/>
          <a:ext cx="1219200" cy="116205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4</xdr:col>
      <xdr:colOff>48895</xdr:colOff>
      <xdr:row>0</xdr:row>
      <xdr:rowOff>635</xdr:rowOff>
    </xdr:from>
    <xdr:to>
      <xdr:col>6</xdr:col>
      <xdr:colOff>338455</xdr:colOff>
      <xdr:row>0</xdr:row>
      <xdr:rowOff>1052195</xdr:rowOff>
    </xdr:to>
    <xdr:pic>
      <xdr:nvPicPr>
        <xdr:cNvPr id="24580" name="图片 5"/>
        <xdr:cNvPicPr>
          <a:picLocks noChangeAspect="1"/>
        </xdr:cNvPicPr>
      </xdr:nvPicPr>
      <xdr:blipFill>
        <a:blip r:embed="rId1">
          <a:lum/>
        </a:blip>
        <a:stretch>
          <a:fillRect/>
        </a:stretch>
      </xdr:blipFill>
      <xdr:spPr>
        <a:xfrm>
          <a:off x="5106670" y="635"/>
          <a:ext cx="1985010" cy="1051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104775</xdr:colOff>
      <xdr:row>9</xdr:row>
      <xdr:rowOff>66675</xdr:rowOff>
    </xdr:from>
    <xdr:to>
      <xdr:col>0</xdr:col>
      <xdr:colOff>1552575</xdr:colOff>
      <xdr:row>12</xdr:row>
      <xdr:rowOff>314325</xdr:rowOff>
    </xdr:to>
    <xdr:pic>
      <xdr:nvPicPr>
        <xdr:cNvPr id="12289" name="图片 1"/>
        <xdr:cNvPicPr>
          <a:picLocks noChangeAspect="1"/>
        </xdr:cNvPicPr>
      </xdr:nvPicPr>
      <xdr:blipFill>
        <a:blip r:embed="rId2">
          <a:lum/>
        </a:blip>
        <a:stretch>
          <a:fillRect/>
        </a:stretch>
      </xdr:blipFill>
      <xdr:spPr>
        <a:xfrm>
          <a:off x="104775" y="4714875"/>
          <a:ext cx="1447800" cy="1466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47625</xdr:colOff>
      <xdr:row>4</xdr:row>
      <xdr:rowOff>76200</xdr:rowOff>
    </xdr:from>
    <xdr:to>
      <xdr:col>0</xdr:col>
      <xdr:colOff>1552575</xdr:colOff>
      <xdr:row>8</xdr:row>
      <xdr:rowOff>228600</xdr:rowOff>
    </xdr:to>
    <xdr:pic>
      <xdr:nvPicPr>
        <xdr:cNvPr id="12290" name="图片 2"/>
        <xdr:cNvPicPr>
          <a:picLocks noChangeAspect="1"/>
        </xdr:cNvPicPr>
      </xdr:nvPicPr>
      <xdr:blipFill>
        <a:blip r:embed="rId3">
          <a:lum/>
        </a:blip>
        <a:stretch>
          <a:fillRect/>
        </a:stretch>
      </xdr:blipFill>
      <xdr:spPr>
        <a:xfrm>
          <a:off x="47625" y="3073400"/>
          <a:ext cx="1504950" cy="1473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0</xdr:colOff>
      <xdr:row>4</xdr:row>
      <xdr:rowOff>47625</xdr:rowOff>
    </xdr:from>
    <xdr:to>
      <xdr:col>12</xdr:col>
      <xdr:colOff>152400</xdr:colOff>
      <xdr:row>8</xdr:row>
      <xdr:rowOff>200025</xdr:rowOff>
    </xdr:to>
    <xdr:pic>
      <xdr:nvPicPr>
        <xdr:cNvPr id="12291" name="图片 3"/>
        <xdr:cNvPicPr>
          <a:picLocks noChangeAspect="1"/>
        </xdr:cNvPicPr>
      </xdr:nvPicPr>
      <xdr:blipFill>
        <a:blip r:embed="rId4">
          <a:lum/>
        </a:blip>
        <a:stretch>
          <a:fillRect/>
        </a:stretch>
      </xdr:blipFill>
      <xdr:spPr>
        <a:xfrm>
          <a:off x="11934825" y="3044825"/>
          <a:ext cx="1524000" cy="1473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47625</xdr:colOff>
      <xdr:row>2</xdr:row>
      <xdr:rowOff>47625</xdr:rowOff>
    </xdr:from>
    <xdr:to>
      <xdr:col>0</xdr:col>
      <xdr:colOff>1533525</xdr:colOff>
      <xdr:row>3</xdr:row>
      <xdr:rowOff>704850</xdr:rowOff>
    </xdr:to>
    <xdr:pic>
      <xdr:nvPicPr>
        <xdr:cNvPr id="12292" name="图片 4"/>
        <xdr:cNvPicPr>
          <a:picLocks noChangeAspect="1"/>
        </xdr:cNvPicPr>
      </xdr:nvPicPr>
      <xdr:blipFill>
        <a:blip r:embed="rId5">
          <a:lum/>
        </a:blip>
        <a:stretch>
          <a:fillRect/>
        </a:stretch>
      </xdr:blipFill>
      <xdr:spPr>
        <a:xfrm>
          <a:off x="47625" y="1482725"/>
          <a:ext cx="1485900" cy="1457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76200</xdr:colOff>
      <xdr:row>13</xdr:row>
      <xdr:rowOff>53340</xdr:rowOff>
    </xdr:from>
    <xdr:to>
      <xdr:col>0</xdr:col>
      <xdr:colOff>1602740</xdr:colOff>
      <xdr:row>13</xdr:row>
      <xdr:rowOff>1275080</xdr:rowOff>
    </xdr:to>
    <xdr:pic>
      <xdr:nvPicPr>
        <xdr:cNvPr id="2" name="图片 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6200" y="6327140"/>
          <a:ext cx="1526540" cy="122174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95250</xdr:colOff>
      <xdr:row>10</xdr:row>
      <xdr:rowOff>76200</xdr:rowOff>
    </xdr:from>
    <xdr:to>
      <xdr:col>0</xdr:col>
      <xdr:colOff>1676400</xdr:colOff>
      <xdr:row>11</xdr:row>
      <xdr:rowOff>609600</xdr:rowOff>
    </xdr:to>
    <xdr:pic>
      <xdr:nvPicPr>
        <xdr:cNvPr id="27650" name="图片 3" descr="05425162584c86425ae556d5b4a7833"/>
        <xdr:cNvPicPr>
          <a:picLocks noChangeAspect="1"/>
        </xdr:cNvPicPr>
      </xdr:nvPicPr>
      <xdr:blipFill>
        <a:blip r:embed="rId1">
          <a:lum/>
        </a:blip>
        <a:stretch>
          <a:fillRect/>
        </a:stretch>
      </xdr:blipFill>
      <xdr:spPr>
        <a:xfrm>
          <a:off x="95250" y="5854700"/>
          <a:ext cx="1581150" cy="1282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114300</xdr:colOff>
      <xdr:row>12</xdr:row>
      <xdr:rowOff>57150</xdr:rowOff>
    </xdr:from>
    <xdr:to>
      <xdr:col>0</xdr:col>
      <xdr:colOff>1704975</xdr:colOff>
      <xdr:row>13</xdr:row>
      <xdr:rowOff>571500</xdr:rowOff>
    </xdr:to>
    <xdr:pic>
      <xdr:nvPicPr>
        <xdr:cNvPr id="27651" name="图片 4"/>
        <xdr:cNvPicPr>
          <a:picLocks noChangeAspect="1"/>
        </xdr:cNvPicPr>
      </xdr:nvPicPr>
      <xdr:blipFill>
        <a:blip r:embed="rId2">
          <a:lum/>
        </a:blip>
        <a:stretch>
          <a:fillRect/>
        </a:stretch>
      </xdr:blipFill>
      <xdr:spPr>
        <a:xfrm>
          <a:off x="114300" y="7334250"/>
          <a:ext cx="1590675" cy="1263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163195</xdr:colOff>
      <xdr:row>0</xdr:row>
      <xdr:rowOff>9525</xdr:rowOff>
    </xdr:from>
    <xdr:to>
      <xdr:col>6</xdr:col>
      <xdr:colOff>663575</xdr:colOff>
      <xdr:row>0</xdr:row>
      <xdr:rowOff>1151255</xdr:rowOff>
    </xdr:to>
    <xdr:pic>
      <xdr:nvPicPr>
        <xdr:cNvPr id="27649" name="图片 2"/>
        <xdr:cNvPicPr>
          <a:picLocks noChangeAspect="1"/>
        </xdr:cNvPicPr>
      </xdr:nvPicPr>
      <xdr:blipFill>
        <a:blip r:embed="rId3">
          <a:lum/>
        </a:blip>
        <a:stretch>
          <a:fillRect/>
        </a:stretch>
      </xdr:blipFill>
      <xdr:spPr>
        <a:xfrm>
          <a:off x="6042025" y="9525"/>
          <a:ext cx="1129665" cy="1141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133350</xdr:colOff>
      <xdr:row>2</xdr:row>
      <xdr:rowOff>28575</xdr:rowOff>
    </xdr:from>
    <xdr:to>
      <xdr:col>0</xdr:col>
      <xdr:colOff>1514475</xdr:colOff>
      <xdr:row>5</xdr:row>
      <xdr:rowOff>180975</xdr:rowOff>
    </xdr:to>
    <xdr:pic>
      <xdr:nvPicPr>
        <xdr:cNvPr id="14337" name="图片 1"/>
        <xdr:cNvPicPr>
          <a:picLocks noChangeAspect="1"/>
        </xdr:cNvPicPr>
      </xdr:nvPicPr>
      <xdr:blipFill>
        <a:blip r:embed="rId4">
          <a:lum/>
        </a:blip>
        <a:stretch>
          <a:fillRect/>
        </a:stretch>
      </xdr:blipFill>
      <xdr:spPr>
        <a:xfrm>
          <a:off x="133350" y="1539875"/>
          <a:ext cx="1381125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85090</xdr:colOff>
      <xdr:row>8</xdr:row>
      <xdr:rowOff>29845</xdr:rowOff>
    </xdr:from>
    <xdr:to>
      <xdr:col>0</xdr:col>
      <xdr:colOff>1534795</xdr:colOff>
      <xdr:row>9</xdr:row>
      <xdr:rowOff>635635</xdr:rowOff>
    </xdr:to>
    <xdr:pic>
      <xdr:nvPicPr>
        <xdr:cNvPr id="3" name="图片 2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5090" y="4436745"/>
          <a:ext cx="1449705" cy="1291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107315</xdr:colOff>
      <xdr:row>6</xdr:row>
      <xdr:rowOff>13335</xdr:rowOff>
    </xdr:from>
    <xdr:to>
      <xdr:col>0</xdr:col>
      <xdr:colOff>1600200</xdr:colOff>
      <xdr:row>7</xdr:row>
      <xdr:rowOff>625475</xdr:rowOff>
    </xdr:to>
    <xdr:pic>
      <xdr:nvPicPr>
        <xdr:cNvPr id="2" name="图片 1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07315" y="3048635"/>
          <a:ext cx="1492885" cy="129794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295275</xdr:colOff>
      <xdr:row>13</xdr:row>
      <xdr:rowOff>0</xdr:rowOff>
    </xdr:from>
    <xdr:to>
      <xdr:col>0</xdr:col>
      <xdr:colOff>1476375</xdr:colOff>
      <xdr:row>13</xdr:row>
      <xdr:rowOff>1152525</xdr:rowOff>
    </xdr:to>
    <xdr:pic>
      <xdr:nvPicPr>
        <xdr:cNvPr id="31753" name="图片 10" descr="6a028111641a49c68ddb1867b89bad4"/>
        <xdr:cNvPicPr>
          <a:picLocks noChangeAspect="1"/>
        </xdr:cNvPicPr>
      </xdr:nvPicPr>
      <xdr:blipFill>
        <a:blip r:embed="rId1">
          <a:lum/>
        </a:blip>
        <a:srcRect l="11491" r="12018" b="256"/>
        <a:stretch>
          <a:fillRect/>
        </a:stretch>
      </xdr:blipFill>
      <xdr:spPr>
        <a:xfrm>
          <a:off x="295275" y="10109200"/>
          <a:ext cx="1181100" cy="1152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219075</xdr:colOff>
      <xdr:row>14</xdr:row>
      <xdr:rowOff>57150</xdr:rowOff>
    </xdr:from>
    <xdr:to>
      <xdr:col>0</xdr:col>
      <xdr:colOff>1504950</xdr:colOff>
      <xdr:row>15</xdr:row>
      <xdr:rowOff>638175</xdr:rowOff>
    </xdr:to>
    <xdr:pic>
      <xdr:nvPicPr>
        <xdr:cNvPr id="31755" name="图片 12"/>
        <xdr:cNvPicPr>
          <a:picLocks noChangeAspect="1"/>
        </xdr:cNvPicPr>
      </xdr:nvPicPr>
      <xdr:blipFill>
        <a:blip r:embed="rId2">
          <a:lum/>
        </a:blip>
        <a:stretch>
          <a:fillRect/>
        </a:stretch>
      </xdr:blipFill>
      <xdr:spPr>
        <a:xfrm>
          <a:off x="219075" y="11334750"/>
          <a:ext cx="1285875" cy="1292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114300</xdr:colOff>
      <xdr:row>16</xdr:row>
      <xdr:rowOff>38100</xdr:rowOff>
    </xdr:from>
    <xdr:to>
      <xdr:col>0</xdr:col>
      <xdr:colOff>1513205</xdr:colOff>
      <xdr:row>17</xdr:row>
      <xdr:rowOff>663575</xdr:rowOff>
    </xdr:to>
    <xdr:pic>
      <xdr:nvPicPr>
        <xdr:cNvPr id="31756" name="图片 13"/>
        <xdr:cNvPicPr>
          <a:picLocks noChangeAspect="1"/>
        </xdr:cNvPicPr>
      </xdr:nvPicPr>
      <xdr:blipFill>
        <a:blip r:embed="rId3">
          <a:lum/>
        </a:blip>
        <a:stretch>
          <a:fillRect/>
        </a:stretch>
      </xdr:blipFill>
      <xdr:spPr>
        <a:xfrm>
          <a:off x="114300" y="12738100"/>
          <a:ext cx="1398905" cy="13493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161925</xdr:colOff>
      <xdr:row>18</xdr:row>
      <xdr:rowOff>28575</xdr:rowOff>
    </xdr:from>
    <xdr:to>
      <xdr:col>0</xdr:col>
      <xdr:colOff>1571625</xdr:colOff>
      <xdr:row>18</xdr:row>
      <xdr:rowOff>1400175</xdr:rowOff>
    </xdr:to>
    <xdr:pic>
      <xdr:nvPicPr>
        <xdr:cNvPr id="31757" name="图片 14"/>
        <xdr:cNvPicPr>
          <a:picLocks noChangeAspect="1"/>
        </xdr:cNvPicPr>
      </xdr:nvPicPr>
      <xdr:blipFill>
        <a:blip r:embed="rId4">
          <a:lum/>
        </a:blip>
        <a:stretch>
          <a:fillRect/>
        </a:stretch>
      </xdr:blipFill>
      <xdr:spPr>
        <a:xfrm>
          <a:off x="161925" y="14176375"/>
          <a:ext cx="1409700" cy="1371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161925</xdr:colOff>
      <xdr:row>19</xdr:row>
      <xdr:rowOff>28575</xdr:rowOff>
    </xdr:from>
    <xdr:to>
      <xdr:col>0</xdr:col>
      <xdr:colOff>1600200</xdr:colOff>
      <xdr:row>19</xdr:row>
      <xdr:rowOff>1438275</xdr:rowOff>
    </xdr:to>
    <xdr:pic>
      <xdr:nvPicPr>
        <xdr:cNvPr id="31758" name="图片 15"/>
        <xdr:cNvPicPr>
          <a:picLocks noChangeAspect="1"/>
        </xdr:cNvPicPr>
      </xdr:nvPicPr>
      <xdr:blipFill>
        <a:blip r:embed="rId5">
          <a:lum/>
        </a:blip>
        <a:stretch>
          <a:fillRect/>
        </a:stretch>
      </xdr:blipFill>
      <xdr:spPr>
        <a:xfrm>
          <a:off x="161925" y="15611475"/>
          <a:ext cx="1438275" cy="1409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152400</xdr:colOff>
      <xdr:row>20</xdr:row>
      <xdr:rowOff>76200</xdr:rowOff>
    </xdr:from>
    <xdr:to>
      <xdr:col>0</xdr:col>
      <xdr:colOff>1628775</xdr:colOff>
      <xdr:row>20</xdr:row>
      <xdr:rowOff>1457325</xdr:rowOff>
    </xdr:to>
    <xdr:pic>
      <xdr:nvPicPr>
        <xdr:cNvPr id="31759" name="图片 16"/>
        <xdr:cNvPicPr>
          <a:picLocks noChangeAspect="1"/>
        </xdr:cNvPicPr>
      </xdr:nvPicPr>
      <xdr:blipFill>
        <a:blip r:embed="rId6">
          <a:lum/>
        </a:blip>
        <a:stretch>
          <a:fillRect/>
        </a:stretch>
      </xdr:blipFill>
      <xdr:spPr>
        <a:xfrm>
          <a:off x="152400" y="17145000"/>
          <a:ext cx="1476375" cy="1381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123825</xdr:colOff>
      <xdr:row>21</xdr:row>
      <xdr:rowOff>28575</xdr:rowOff>
    </xdr:from>
    <xdr:to>
      <xdr:col>0</xdr:col>
      <xdr:colOff>1581150</xdr:colOff>
      <xdr:row>21</xdr:row>
      <xdr:rowOff>1447800</xdr:rowOff>
    </xdr:to>
    <xdr:pic>
      <xdr:nvPicPr>
        <xdr:cNvPr id="31760" name="图片 17"/>
        <xdr:cNvPicPr>
          <a:picLocks noChangeAspect="1"/>
        </xdr:cNvPicPr>
      </xdr:nvPicPr>
      <xdr:blipFill>
        <a:blip r:embed="rId7">
          <a:lum/>
        </a:blip>
        <a:stretch>
          <a:fillRect/>
        </a:stretch>
      </xdr:blipFill>
      <xdr:spPr>
        <a:xfrm>
          <a:off x="123825" y="18595975"/>
          <a:ext cx="1457325" cy="1419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104775</xdr:colOff>
      <xdr:row>22</xdr:row>
      <xdr:rowOff>76200</xdr:rowOff>
    </xdr:from>
    <xdr:to>
      <xdr:col>0</xdr:col>
      <xdr:colOff>1577975</xdr:colOff>
      <xdr:row>23</xdr:row>
      <xdr:rowOff>685165</xdr:rowOff>
    </xdr:to>
    <xdr:pic>
      <xdr:nvPicPr>
        <xdr:cNvPr id="31761" name="图片 18"/>
        <xdr:cNvPicPr>
          <a:picLocks noChangeAspect="1"/>
        </xdr:cNvPicPr>
      </xdr:nvPicPr>
      <xdr:blipFill>
        <a:blip r:embed="rId8">
          <a:lum/>
        </a:blip>
        <a:stretch>
          <a:fillRect/>
        </a:stretch>
      </xdr:blipFill>
      <xdr:spPr>
        <a:xfrm>
          <a:off x="104775" y="20142200"/>
          <a:ext cx="1473200" cy="14344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0</xdr:colOff>
      <xdr:row>21</xdr:row>
      <xdr:rowOff>1095375</xdr:rowOff>
    </xdr:from>
    <xdr:to>
      <xdr:col>12</xdr:col>
      <xdr:colOff>114300</xdr:colOff>
      <xdr:row>23</xdr:row>
      <xdr:rowOff>193675</xdr:rowOff>
    </xdr:to>
    <xdr:pic>
      <xdr:nvPicPr>
        <xdr:cNvPr id="31762" name="图片 19"/>
        <xdr:cNvPicPr>
          <a:picLocks noChangeAspect="1"/>
        </xdr:cNvPicPr>
      </xdr:nvPicPr>
      <xdr:blipFill>
        <a:blip r:embed="rId9">
          <a:lum/>
        </a:blip>
        <a:stretch>
          <a:fillRect/>
        </a:stretch>
      </xdr:blipFill>
      <xdr:spPr>
        <a:xfrm>
          <a:off x="11340465" y="19662775"/>
          <a:ext cx="1485900" cy="1422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114300</xdr:colOff>
      <xdr:row>24</xdr:row>
      <xdr:rowOff>95250</xdr:rowOff>
    </xdr:from>
    <xdr:to>
      <xdr:col>0</xdr:col>
      <xdr:colOff>1533525</xdr:colOff>
      <xdr:row>25</xdr:row>
      <xdr:rowOff>676275</xdr:rowOff>
    </xdr:to>
    <xdr:pic>
      <xdr:nvPicPr>
        <xdr:cNvPr id="31763" name="图片 20"/>
        <xdr:cNvPicPr>
          <a:picLocks noChangeAspect="1"/>
        </xdr:cNvPicPr>
      </xdr:nvPicPr>
      <xdr:blipFill>
        <a:blip r:embed="rId10">
          <a:lum/>
        </a:blip>
        <a:stretch>
          <a:fillRect/>
        </a:stretch>
      </xdr:blipFill>
      <xdr:spPr>
        <a:xfrm>
          <a:off x="114300" y="21812250"/>
          <a:ext cx="1419225" cy="1381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0</xdr:colOff>
      <xdr:row>24</xdr:row>
      <xdr:rowOff>85725</xdr:rowOff>
    </xdr:from>
    <xdr:to>
      <xdr:col>12</xdr:col>
      <xdr:colOff>57150</xdr:colOff>
      <xdr:row>25</xdr:row>
      <xdr:rowOff>685800</xdr:rowOff>
    </xdr:to>
    <xdr:pic>
      <xdr:nvPicPr>
        <xdr:cNvPr id="31764" name="图片 21"/>
        <xdr:cNvPicPr>
          <a:picLocks noChangeAspect="1"/>
        </xdr:cNvPicPr>
      </xdr:nvPicPr>
      <xdr:blipFill>
        <a:blip r:embed="rId11">
          <a:lum/>
        </a:blip>
        <a:stretch>
          <a:fillRect/>
        </a:stretch>
      </xdr:blipFill>
      <xdr:spPr>
        <a:xfrm>
          <a:off x="11340465" y="21802725"/>
          <a:ext cx="1428750" cy="1400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171450</xdr:colOff>
      <xdr:row>26</xdr:row>
      <xdr:rowOff>38100</xdr:rowOff>
    </xdr:from>
    <xdr:to>
      <xdr:col>0</xdr:col>
      <xdr:colOff>1562100</xdr:colOff>
      <xdr:row>26</xdr:row>
      <xdr:rowOff>1381125</xdr:rowOff>
    </xdr:to>
    <xdr:pic>
      <xdr:nvPicPr>
        <xdr:cNvPr id="31765" name="图片 22"/>
        <xdr:cNvPicPr>
          <a:picLocks noChangeAspect="1"/>
        </xdr:cNvPicPr>
      </xdr:nvPicPr>
      <xdr:blipFill>
        <a:blip r:embed="rId12">
          <a:lum/>
        </a:blip>
        <a:stretch>
          <a:fillRect/>
        </a:stretch>
      </xdr:blipFill>
      <xdr:spPr>
        <a:xfrm>
          <a:off x="171450" y="23355300"/>
          <a:ext cx="1390650" cy="1343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295275</xdr:colOff>
      <xdr:row>12</xdr:row>
      <xdr:rowOff>19050</xdr:rowOff>
    </xdr:from>
    <xdr:to>
      <xdr:col>0</xdr:col>
      <xdr:colOff>1456690</xdr:colOff>
      <xdr:row>12</xdr:row>
      <xdr:rowOff>1143000</xdr:rowOff>
    </xdr:to>
    <xdr:pic>
      <xdr:nvPicPr>
        <xdr:cNvPr id="31747" name="图片 4"/>
        <xdr:cNvPicPr>
          <a:picLocks noChangeAspect="1"/>
        </xdr:cNvPicPr>
      </xdr:nvPicPr>
      <xdr:blipFill>
        <a:blip r:embed="rId13">
          <a:lum/>
        </a:blip>
        <a:stretch>
          <a:fillRect/>
        </a:stretch>
      </xdr:blipFill>
      <xdr:spPr>
        <a:xfrm>
          <a:off x="295275" y="8921750"/>
          <a:ext cx="1161415" cy="1123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219075</xdr:colOff>
      <xdr:row>4</xdr:row>
      <xdr:rowOff>66675</xdr:rowOff>
    </xdr:from>
    <xdr:to>
      <xdr:col>0</xdr:col>
      <xdr:colOff>1428750</xdr:colOff>
      <xdr:row>4</xdr:row>
      <xdr:rowOff>1171575</xdr:rowOff>
    </xdr:to>
    <xdr:pic>
      <xdr:nvPicPr>
        <xdr:cNvPr id="31748" name="图片 5"/>
        <xdr:cNvPicPr>
          <a:picLocks noChangeAspect="1"/>
        </xdr:cNvPicPr>
      </xdr:nvPicPr>
      <xdr:blipFill>
        <a:blip r:embed="rId14">
          <a:lum/>
        </a:blip>
        <a:srcRect l="8208"/>
        <a:stretch>
          <a:fillRect/>
        </a:stretch>
      </xdr:blipFill>
      <xdr:spPr>
        <a:xfrm>
          <a:off x="219075" y="2873375"/>
          <a:ext cx="1209675" cy="11049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190500</xdr:colOff>
      <xdr:row>8</xdr:row>
      <xdr:rowOff>57150</xdr:rowOff>
    </xdr:from>
    <xdr:to>
      <xdr:col>0</xdr:col>
      <xdr:colOff>1484630</xdr:colOff>
      <xdr:row>9</xdr:row>
      <xdr:rowOff>558800</xdr:rowOff>
    </xdr:to>
    <xdr:pic>
      <xdr:nvPicPr>
        <xdr:cNvPr id="31751" name="图片 8"/>
        <xdr:cNvPicPr>
          <a:picLocks noChangeAspect="1"/>
        </xdr:cNvPicPr>
      </xdr:nvPicPr>
      <xdr:blipFill>
        <a:blip r:embed="rId15">
          <a:lum/>
        </a:blip>
        <a:stretch>
          <a:fillRect/>
        </a:stretch>
      </xdr:blipFill>
      <xdr:spPr>
        <a:xfrm>
          <a:off x="190500" y="5378450"/>
          <a:ext cx="1294130" cy="1123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666750</xdr:colOff>
      <xdr:row>0</xdr:row>
      <xdr:rowOff>57150</xdr:rowOff>
    </xdr:from>
    <xdr:to>
      <xdr:col>7</xdr:col>
      <xdr:colOff>361950</xdr:colOff>
      <xdr:row>0</xdr:row>
      <xdr:rowOff>1066800</xdr:rowOff>
    </xdr:to>
    <xdr:pic>
      <xdr:nvPicPr>
        <xdr:cNvPr id="31745" name="图片 2"/>
        <xdr:cNvPicPr>
          <a:picLocks noChangeAspect="1"/>
        </xdr:cNvPicPr>
      </xdr:nvPicPr>
      <xdr:blipFill>
        <a:blip r:embed="rId16">
          <a:lum/>
        </a:blip>
        <a:stretch>
          <a:fillRect/>
        </a:stretch>
      </xdr:blipFill>
      <xdr:spPr>
        <a:xfrm>
          <a:off x="6497320" y="57150"/>
          <a:ext cx="1295400" cy="1009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180975</xdr:colOff>
      <xdr:row>0</xdr:row>
      <xdr:rowOff>85725</xdr:rowOff>
    </xdr:from>
    <xdr:to>
      <xdr:col>3</xdr:col>
      <xdr:colOff>428625</xdr:colOff>
      <xdr:row>0</xdr:row>
      <xdr:rowOff>895350</xdr:rowOff>
    </xdr:to>
    <xdr:pic>
      <xdr:nvPicPr>
        <xdr:cNvPr id="31746" name="图片 3"/>
        <xdr:cNvPicPr>
          <a:picLocks noChangeAspect="1"/>
        </xdr:cNvPicPr>
      </xdr:nvPicPr>
      <xdr:blipFill>
        <a:blip r:embed="rId17">
          <a:lum/>
        </a:blip>
        <a:stretch>
          <a:fillRect/>
        </a:stretch>
      </xdr:blipFill>
      <xdr:spPr>
        <a:xfrm>
          <a:off x="3362325" y="85725"/>
          <a:ext cx="1323975" cy="809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228600</xdr:colOff>
      <xdr:row>11</xdr:row>
      <xdr:rowOff>19050</xdr:rowOff>
    </xdr:from>
    <xdr:to>
      <xdr:col>0</xdr:col>
      <xdr:colOff>1457325</xdr:colOff>
      <xdr:row>11</xdr:row>
      <xdr:rowOff>1104900</xdr:rowOff>
    </xdr:to>
    <xdr:pic>
      <xdr:nvPicPr>
        <xdr:cNvPr id="16385" name="图片 1"/>
        <xdr:cNvPicPr>
          <a:picLocks noChangeAspect="1"/>
        </xdr:cNvPicPr>
      </xdr:nvPicPr>
      <xdr:blipFill>
        <a:blip r:embed="rId18">
          <a:lum/>
        </a:blip>
        <a:stretch>
          <a:fillRect/>
        </a:stretch>
      </xdr:blipFill>
      <xdr:spPr>
        <a:xfrm>
          <a:off x="228600" y="7753350"/>
          <a:ext cx="1228725" cy="10858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0</xdr:colOff>
      <xdr:row>27</xdr:row>
      <xdr:rowOff>19050</xdr:rowOff>
    </xdr:from>
    <xdr:to>
      <xdr:col>12</xdr:col>
      <xdr:colOff>9525</xdr:colOff>
      <xdr:row>28</xdr:row>
      <xdr:rowOff>612775</xdr:rowOff>
    </xdr:to>
    <xdr:pic>
      <xdr:nvPicPr>
        <xdr:cNvPr id="16386" name="图片 50" descr="c0a79277f060930faa31d0bf8123339"/>
        <xdr:cNvPicPr>
          <a:picLocks noChangeAspect="1"/>
        </xdr:cNvPicPr>
      </xdr:nvPicPr>
      <xdr:blipFill>
        <a:blip r:embed="rId19">
          <a:lum/>
        </a:blip>
        <a:srcRect l="7385" r="10226"/>
        <a:stretch>
          <a:fillRect/>
        </a:stretch>
      </xdr:blipFill>
      <xdr:spPr>
        <a:xfrm>
          <a:off x="11340465" y="24784050"/>
          <a:ext cx="1381125" cy="12668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152400</xdr:colOff>
      <xdr:row>27</xdr:row>
      <xdr:rowOff>38100</xdr:rowOff>
    </xdr:from>
    <xdr:to>
      <xdr:col>0</xdr:col>
      <xdr:colOff>1466850</xdr:colOff>
      <xdr:row>28</xdr:row>
      <xdr:rowOff>660400</xdr:rowOff>
    </xdr:to>
    <xdr:pic>
      <xdr:nvPicPr>
        <xdr:cNvPr id="16388" name="图片 4"/>
        <xdr:cNvPicPr>
          <a:picLocks noChangeAspect="1"/>
        </xdr:cNvPicPr>
      </xdr:nvPicPr>
      <xdr:blipFill>
        <a:blip r:embed="rId20">
          <a:lum/>
        </a:blip>
        <a:stretch>
          <a:fillRect/>
        </a:stretch>
      </xdr:blipFill>
      <xdr:spPr>
        <a:xfrm>
          <a:off x="152400" y="24803100"/>
          <a:ext cx="1314450" cy="12954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38100</xdr:colOff>
      <xdr:row>31</xdr:row>
      <xdr:rowOff>323850</xdr:rowOff>
    </xdr:from>
    <xdr:to>
      <xdr:col>0</xdr:col>
      <xdr:colOff>1514475</xdr:colOff>
      <xdr:row>33</xdr:row>
      <xdr:rowOff>561975</xdr:rowOff>
    </xdr:to>
    <xdr:pic>
      <xdr:nvPicPr>
        <xdr:cNvPr id="16389" name="图片 5"/>
        <xdr:cNvPicPr>
          <a:picLocks noChangeAspect="1"/>
        </xdr:cNvPicPr>
      </xdr:nvPicPr>
      <xdr:blipFill>
        <a:blip r:embed="rId21">
          <a:lum/>
        </a:blip>
        <a:stretch>
          <a:fillRect/>
        </a:stretch>
      </xdr:blipFill>
      <xdr:spPr>
        <a:xfrm>
          <a:off x="38100" y="27654250"/>
          <a:ext cx="1476375" cy="14573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57150</xdr:colOff>
      <xdr:row>29</xdr:row>
      <xdr:rowOff>28575</xdr:rowOff>
    </xdr:from>
    <xdr:to>
      <xdr:col>0</xdr:col>
      <xdr:colOff>1524000</xdr:colOff>
      <xdr:row>31</xdr:row>
      <xdr:rowOff>257175</xdr:rowOff>
    </xdr:to>
    <xdr:pic>
      <xdr:nvPicPr>
        <xdr:cNvPr id="16390" name="图片 6"/>
        <xdr:cNvPicPr>
          <a:picLocks noChangeAspect="1"/>
        </xdr:cNvPicPr>
      </xdr:nvPicPr>
      <xdr:blipFill>
        <a:blip r:embed="rId22">
          <a:lum/>
        </a:blip>
        <a:stretch>
          <a:fillRect/>
        </a:stretch>
      </xdr:blipFill>
      <xdr:spPr>
        <a:xfrm>
          <a:off x="57150" y="26139775"/>
          <a:ext cx="1466850" cy="1447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85725</xdr:colOff>
      <xdr:row>34</xdr:row>
      <xdr:rowOff>28575</xdr:rowOff>
    </xdr:from>
    <xdr:to>
      <xdr:col>0</xdr:col>
      <xdr:colOff>1447800</xdr:colOff>
      <xdr:row>34</xdr:row>
      <xdr:rowOff>1301115</xdr:rowOff>
    </xdr:to>
    <xdr:pic>
      <xdr:nvPicPr>
        <xdr:cNvPr id="16391" name="图片 47" descr="88270ca8afdfc4391668bfbc68b1b85"/>
        <xdr:cNvPicPr>
          <a:picLocks noChangeAspect="1"/>
        </xdr:cNvPicPr>
      </xdr:nvPicPr>
      <xdr:blipFill>
        <a:blip r:embed="rId23">
          <a:lum/>
        </a:blip>
        <a:srcRect l="11037" r="8310"/>
        <a:stretch>
          <a:fillRect/>
        </a:stretch>
      </xdr:blipFill>
      <xdr:spPr>
        <a:xfrm>
          <a:off x="85725" y="29187775"/>
          <a:ext cx="1362075" cy="12725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95250</xdr:colOff>
      <xdr:row>34</xdr:row>
      <xdr:rowOff>1339850</xdr:rowOff>
    </xdr:from>
    <xdr:to>
      <xdr:col>0</xdr:col>
      <xdr:colOff>1447165</xdr:colOff>
      <xdr:row>35</xdr:row>
      <xdr:rowOff>1296035</xdr:rowOff>
    </xdr:to>
    <xdr:pic>
      <xdr:nvPicPr>
        <xdr:cNvPr id="16392" name="图片 8"/>
        <xdr:cNvPicPr>
          <a:picLocks noChangeAspect="1"/>
        </xdr:cNvPicPr>
      </xdr:nvPicPr>
      <xdr:blipFill>
        <a:blip r:embed="rId24">
          <a:lum/>
        </a:blip>
        <a:stretch>
          <a:fillRect/>
        </a:stretch>
      </xdr:blipFill>
      <xdr:spPr>
        <a:xfrm>
          <a:off x="95250" y="30499050"/>
          <a:ext cx="1351915" cy="1302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133350</xdr:colOff>
      <xdr:row>44</xdr:row>
      <xdr:rowOff>95250</xdr:rowOff>
    </xdr:from>
    <xdr:to>
      <xdr:col>0</xdr:col>
      <xdr:colOff>1590675</xdr:colOff>
      <xdr:row>48</xdr:row>
      <xdr:rowOff>142875</xdr:rowOff>
    </xdr:to>
    <xdr:pic>
      <xdr:nvPicPr>
        <xdr:cNvPr id="16393" name="图片 9"/>
        <xdr:cNvPicPr>
          <a:picLocks noChangeAspect="1"/>
        </xdr:cNvPicPr>
      </xdr:nvPicPr>
      <xdr:blipFill>
        <a:blip r:embed="rId25">
          <a:lum/>
        </a:blip>
        <a:stretch>
          <a:fillRect/>
        </a:stretch>
      </xdr:blipFill>
      <xdr:spPr>
        <a:xfrm>
          <a:off x="133350" y="38919150"/>
          <a:ext cx="1457325" cy="13176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161925</xdr:colOff>
      <xdr:row>36</xdr:row>
      <xdr:rowOff>31115</xdr:rowOff>
    </xdr:from>
    <xdr:to>
      <xdr:col>0</xdr:col>
      <xdr:colOff>1562735</xdr:colOff>
      <xdr:row>37</xdr:row>
      <xdr:rowOff>652145</xdr:rowOff>
    </xdr:to>
    <xdr:pic>
      <xdr:nvPicPr>
        <xdr:cNvPr id="2" name="图片 1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161925" y="31882715"/>
          <a:ext cx="1400810" cy="1344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85725</xdr:colOff>
      <xdr:row>38</xdr:row>
      <xdr:rowOff>38100</xdr:rowOff>
    </xdr:from>
    <xdr:to>
      <xdr:col>0</xdr:col>
      <xdr:colOff>1583690</xdr:colOff>
      <xdr:row>38</xdr:row>
      <xdr:rowOff>1319530</xdr:rowOff>
    </xdr:to>
    <xdr:pic>
      <xdr:nvPicPr>
        <xdr:cNvPr id="4" name="图片 3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85725" y="33337500"/>
          <a:ext cx="1497965" cy="12814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95250</xdr:colOff>
      <xdr:row>39</xdr:row>
      <xdr:rowOff>60325</xdr:rowOff>
    </xdr:from>
    <xdr:to>
      <xdr:col>0</xdr:col>
      <xdr:colOff>1581785</xdr:colOff>
      <xdr:row>39</xdr:row>
      <xdr:rowOff>1372235</xdr:rowOff>
    </xdr:to>
    <xdr:pic>
      <xdr:nvPicPr>
        <xdr:cNvPr id="5" name="图片 4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95250" y="34756725"/>
          <a:ext cx="1486535" cy="1311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104775</xdr:colOff>
      <xdr:row>40</xdr:row>
      <xdr:rowOff>34290</xdr:rowOff>
    </xdr:from>
    <xdr:to>
      <xdr:col>0</xdr:col>
      <xdr:colOff>1445895</xdr:colOff>
      <xdr:row>41</xdr:row>
      <xdr:rowOff>622300</xdr:rowOff>
    </xdr:to>
    <xdr:pic>
      <xdr:nvPicPr>
        <xdr:cNvPr id="3" name="图片 2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104775" y="36216590"/>
          <a:ext cx="1341120" cy="1235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180975</xdr:colOff>
      <xdr:row>42</xdr:row>
      <xdr:rowOff>50165</xdr:rowOff>
    </xdr:from>
    <xdr:to>
      <xdr:col>0</xdr:col>
      <xdr:colOff>1496695</xdr:colOff>
      <xdr:row>43</xdr:row>
      <xdr:rowOff>577850</xdr:rowOff>
    </xdr:to>
    <xdr:pic>
      <xdr:nvPicPr>
        <xdr:cNvPr id="7" name="图片 6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180975" y="37527865"/>
          <a:ext cx="1315720" cy="1200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0</xdr:colOff>
      <xdr:row>44</xdr:row>
      <xdr:rowOff>157480</xdr:rowOff>
    </xdr:from>
    <xdr:to>
      <xdr:col>12</xdr:col>
      <xdr:colOff>149860</xdr:colOff>
      <xdr:row>48</xdr:row>
      <xdr:rowOff>257175</xdr:rowOff>
    </xdr:to>
    <xdr:pic>
      <xdr:nvPicPr>
        <xdr:cNvPr id="6" name="图片 5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11340465" y="38981380"/>
          <a:ext cx="1521460" cy="13696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180975</xdr:colOff>
      <xdr:row>5</xdr:row>
      <xdr:rowOff>38100</xdr:rowOff>
    </xdr:from>
    <xdr:to>
      <xdr:col>0</xdr:col>
      <xdr:colOff>1431290</xdr:colOff>
      <xdr:row>7</xdr:row>
      <xdr:rowOff>350520</xdr:rowOff>
    </xdr:to>
    <xdr:pic>
      <xdr:nvPicPr>
        <xdr:cNvPr id="9" name="图片 8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80975" y="4102100"/>
          <a:ext cx="1250315" cy="11506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114300</xdr:colOff>
      <xdr:row>2</xdr:row>
      <xdr:rowOff>34290</xdr:rowOff>
    </xdr:from>
    <xdr:to>
      <xdr:col>0</xdr:col>
      <xdr:colOff>1437005</xdr:colOff>
      <xdr:row>3</xdr:row>
      <xdr:rowOff>537845</xdr:rowOff>
    </xdr:to>
    <xdr:pic>
      <xdr:nvPicPr>
        <xdr:cNvPr id="11" name="图片 10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114300" y="1469390"/>
          <a:ext cx="1322705" cy="1189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190500</xdr:colOff>
      <xdr:row>10</xdr:row>
      <xdr:rowOff>40640</xdr:rowOff>
    </xdr:from>
    <xdr:to>
      <xdr:col>0</xdr:col>
      <xdr:colOff>1367790</xdr:colOff>
      <xdr:row>11</xdr:row>
      <xdr:rowOff>3175</xdr:rowOff>
    </xdr:to>
    <xdr:pic>
      <xdr:nvPicPr>
        <xdr:cNvPr id="12" name="图片 11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190500" y="6606540"/>
          <a:ext cx="1177290" cy="11309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0</xdr:colOff>
      <xdr:row>2</xdr:row>
      <xdr:rowOff>81915</xdr:rowOff>
    </xdr:from>
    <xdr:to>
      <xdr:col>11</xdr:col>
      <xdr:colOff>669925</xdr:colOff>
      <xdr:row>3</xdr:row>
      <xdr:rowOff>600075</xdr:rowOff>
    </xdr:to>
    <xdr:pic>
      <xdr:nvPicPr>
        <xdr:cNvPr id="8" name="图片 7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11340465" y="1517015"/>
          <a:ext cx="1355725" cy="12039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10</xdr:col>
      <xdr:colOff>0</xdr:colOff>
      <xdr:row>5</xdr:row>
      <xdr:rowOff>56515</xdr:rowOff>
    </xdr:from>
    <xdr:to>
      <xdr:col>11</xdr:col>
      <xdr:colOff>599440</xdr:colOff>
      <xdr:row>7</xdr:row>
      <xdr:rowOff>390525</xdr:rowOff>
    </xdr:to>
    <xdr:pic>
      <xdr:nvPicPr>
        <xdr:cNvPr id="10" name="图片 9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11340465" y="4120515"/>
          <a:ext cx="1285240" cy="117221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atMod val="350000"/>
                <a:shade val="99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>
    <a:spDef>
      <a:spPr>
        <a:xfrm>
          <a:off x="0" y="0"/>
          <a:ext cx="0" cy="0"/>
        </a:xfrm>
        <a:custGeom>
          <a:avLst/>
          <a:gdLst>
            <a:gd name="_h" fmla="val 21600"/>
            <a:gd name="_w" fmla="val 21600"/>
          </a:gdLst>
          <a:ahLst/>
          <a:cxnLst/>
          <a:pathLst>
            <a:path w="21600" h="21600"/>
          </a:pathLst>
        </a:custGeom>
        <a:gradFill rotWithShape="0">
          <a:gsLst>
            <a:gs pos="0">
              <a:srgbClr val="BBD5F0"/>
            </a:gs>
            <a:gs pos="100000">
              <a:srgbClr val="9CBEE0"/>
            </a:gs>
          </a:gsLst>
          <a:lin ang="5400000" scaled="0"/>
        </a:gradFill>
        <a:ln w="15875" cap="flat" cmpd="sng" algn="ctr">
          <a:solidFill>
            <a:srgbClr val="739CC3"/>
          </a:solidFill>
          <a:prstDash val="solid"/>
          <a:miter lim="200000"/>
        </a:ln>
      </a:spPr>
      <a:bodyPr/>
      <a:lstStyle/>
    </a:spDef>
  </a:objectDefaults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indexed="47"/>
  </sheetPr>
  <dimension ref="A1:J158"/>
  <sheetViews>
    <sheetView tabSelected="1" workbookViewId="0">
      <pane xSplit="1" ySplit="2" topLeftCell="B3" activePane="bottomRight" state="frozen"/>
      <selection/>
      <selection pane="topRight"/>
      <selection pane="bottomLeft"/>
      <selection pane="bottomRight" activeCell="C6" sqref="C6"/>
    </sheetView>
  </sheetViews>
  <sheetFormatPr defaultColWidth="9" defaultRowHeight="13.5"/>
  <cols>
    <col min="1" max="1" width="21.7333333333333" style="6" customWidth="1"/>
    <col min="2" max="2" width="16.95" style="90" customWidth="1"/>
    <col min="3" max="3" width="15.2166666666667" style="92" customWidth="1"/>
    <col min="4" max="4" width="9.625" style="92" customWidth="1"/>
    <col min="5" max="5" width="12.3833333333333" style="92" customWidth="1"/>
    <col min="6" max="6" width="7.6" style="92" customWidth="1"/>
    <col min="7" max="7" width="12.6" style="92" customWidth="1"/>
    <col min="8" max="8" width="16.95" style="92" customWidth="1"/>
    <col min="9" max="9" width="26.1833333333333" style="92" customWidth="1"/>
    <col min="10" max="10" width="16.625" style="92" customWidth="1"/>
    <col min="11" max="16384" width="9" style="6"/>
  </cols>
  <sheetData>
    <row r="1" ht="86" customHeight="1"/>
    <row r="2" s="376" customFormat="1" ht="34" customHeight="1" spans="1:10">
      <c r="A2" s="93" t="s">
        <v>0</v>
      </c>
      <c r="B2" s="94" t="s">
        <v>1</v>
      </c>
      <c r="C2" s="93" t="s">
        <v>2</v>
      </c>
      <c r="D2" s="93" t="s">
        <v>3</v>
      </c>
      <c r="E2" s="93" t="s">
        <v>4</v>
      </c>
      <c r="F2" s="93" t="s">
        <v>5</v>
      </c>
      <c r="G2" s="93" t="s">
        <v>6</v>
      </c>
      <c r="H2" s="93" t="s">
        <v>7</v>
      </c>
      <c r="I2" s="93" t="s">
        <v>8</v>
      </c>
      <c r="J2" s="93" t="s">
        <v>9</v>
      </c>
    </row>
    <row r="3" s="377" customFormat="1" ht="62" customHeight="1" spans="1:10">
      <c r="A3" s="57"/>
      <c r="B3" s="53" t="s">
        <v>10</v>
      </c>
      <c r="C3" s="55" t="s">
        <v>11</v>
      </c>
      <c r="D3" s="55" t="s">
        <v>12</v>
      </c>
      <c r="E3" s="55" t="s">
        <v>13</v>
      </c>
      <c r="F3" s="55">
        <v>38</v>
      </c>
      <c r="G3" s="55">
        <v>59.5</v>
      </c>
      <c r="H3" s="55" t="s">
        <v>14</v>
      </c>
      <c r="I3" s="176" t="str">
        <f>VLOOKUP(H3,Sheet4!A:B,2,)</f>
        <v>Black Electroplate</v>
      </c>
      <c r="J3" s="55">
        <f>4-4+12-4-8</f>
        <v>0</v>
      </c>
    </row>
    <row r="4" ht="56" customHeight="1" spans="1:10">
      <c r="A4" s="34"/>
      <c r="B4" s="23" t="s">
        <v>15</v>
      </c>
      <c r="C4" s="43" t="s">
        <v>11</v>
      </c>
      <c r="D4" s="43" t="s">
        <v>12</v>
      </c>
      <c r="E4" s="43" t="s">
        <v>13</v>
      </c>
      <c r="F4" s="43">
        <v>38</v>
      </c>
      <c r="G4" s="43">
        <v>59.5</v>
      </c>
      <c r="H4" s="43" t="s">
        <v>16</v>
      </c>
      <c r="I4" s="174" t="str">
        <f>VLOOKUP(H4,Sheet4!A:B,2,)</f>
        <v>GLOSS BLACK</v>
      </c>
      <c r="J4" s="43">
        <f>12-12+16</f>
        <v>16</v>
      </c>
    </row>
    <row r="5" ht="108" customHeight="1" spans="1:10">
      <c r="A5" s="379"/>
      <c r="B5" s="53" t="s">
        <v>17</v>
      </c>
      <c r="C5" s="97" t="s">
        <v>18</v>
      </c>
      <c r="D5" s="55" t="s">
        <v>19</v>
      </c>
      <c r="E5" s="55" t="s">
        <v>20</v>
      </c>
      <c r="F5" s="55">
        <v>38</v>
      </c>
      <c r="G5" s="55">
        <v>63.4</v>
      </c>
      <c r="H5" s="55" t="s">
        <v>21</v>
      </c>
      <c r="I5" s="176" t="str">
        <f>VLOOKUP(H5,Sheet4!A:B,2,)</f>
        <v>Black Machine Face</v>
      </c>
      <c r="J5" s="55">
        <f>4-4+4-4</f>
        <v>0</v>
      </c>
    </row>
    <row r="6" ht="57" customHeight="1" spans="1:10">
      <c r="A6" s="379"/>
      <c r="B6" s="53" t="s">
        <v>22</v>
      </c>
      <c r="C6" s="97" t="s">
        <v>18</v>
      </c>
      <c r="D6" s="55" t="s">
        <v>23</v>
      </c>
      <c r="E6" s="55" t="s">
        <v>20</v>
      </c>
      <c r="F6" s="55">
        <v>38</v>
      </c>
      <c r="G6" s="55">
        <v>63.4</v>
      </c>
      <c r="H6" s="55" t="s">
        <v>21</v>
      </c>
      <c r="I6" s="176" t="str">
        <f>VLOOKUP(H6,Sheet4!A:B,2,)</f>
        <v>Black Machine Face</v>
      </c>
      <c r="J6" s="55">
        <f>4-4+4-4+4-4+4-4+8-4-4+4-4+8</f>
        <v>8</v>
      </c>
    </row>
    <row r="7" ht="57" customHeight="1" spans="1:10">
      <c r="A7" s="34"/>
      <c r="B7" s="23" t="s">
        <v>24</v>
      </c>
      <c r="C7" s="43" t="s">
        <v>18</v>
      </c>
      <c r="D7" s="43" t="s">
        <v>19</v>
      </c>
      <c r="E7" s="43" t="s">
        <v>20</v>
      </c>
      <c r="F7" s="43">
        <v>38</v>
      </c>
      <c r="G7" s="43">
        <v>63.4</v>
      </c>
      <c r="H7" s="43" t="s">
        <v>21</v>
      </c>
      <c r="I7" s="174" t="str">
        <f>VLOOKUP(H7,Sheet4!A:B,2,)</f>
        <v>Black Machine Face</v>
      </c>
      <c r="J7" s="43">
        <f>4-4+4-4+8+4-4-4-4+8-4+4-4-4+4-4</f>
        <v>0</v>
      </c>
    </row>
    <row r="8" ht="28" customHeight="1" spans="1:10">
      <c r="A8" s="57"/>
      <c r="B8" s="53" t="s">
        <v>25</v>
      </c>
      <c r="C8" s="55" t="s">
        <v>18</v>
      </c>
      <c r="D8" s="55" t="s">
        <v>12</v>
      </c>
      <c r="E8" s="55" t="s">
        <v>20</v>
      </c>
      <c r="F8" s="55">
        <v>35</v>
      </c>
      <c r="G8" s="55">
        <v>63.4</v>
      </c>
      <c r="H8" s="55" t="s">
        <v>26</v>
      </c>
      <c r="I8" s="176" t="str">
        <f>VLOOKUP(H8,Sheet4!A:B,2,)</f>
        <v>Gloss Black Polisph Face</v>
      </c>
      <c r="J8" s="55">
        <f>4-4+4-4+8-4-4+8-4+4-4-4+8-4-4+4-4+4-4</f>
        <v>0</v>
      </c>
    </row>
    <row r="9" ht="28" customHeight="1" spans="1:10">
      <c r="A9" s="33"/>
      <c r="B9" s="19" t="s">
        <v>27</v>
      </c>
      <c r="C9" s="42" t="s">
        <v>18</v>
      </c>
      <c r="D9" s="42" t="s">
        <v>23</v>
      </c>
      <c r="E9" s="42" t="s">
        <v>20</v>
      </c>
      <c r="F9" s="42">
        <v>38</v>
      </c>
      <c r="G9" s="42">
        <v>63.4</v>
      </c>
      <c r="H9" s="42" t="s">
        <v>26</v>
      </c>
      <c r="I9" s="172" t="str">
        <f>VLOOKUP(H9,Sheet4!A:B,2,)</f>
        <v>Gloss Black Polisph Face</v>
      </c>
      <c r="J9" s="42">
        <f>4-4+4-4+8-4-4+8-4-4+4-4+8-4-4+8-1-4</f>
        <v>3</v>
      </c>
    </row>
    <row r="10" ht="28" customHeight="1" spans="1:10">
      <c r="A10" s="33"/>
      <c r="B10" s="19" t="s">
        <v>28</v>
      </c>
      <c r="C10" s="42" t="s">
        <v>18</v>
      </c>
      <c r="D10" s="42" t="s">
        <v>29</v>
      </c>
      <c r="E10" s="42" t="s">
        <v>20</v>
      </c>
      <c r="F10" s="42">
        <v>38</v>
      </c>
      <c r="G10" s="42">
        <v>63.4</v>
      </c>
      <c r="H10" s="42" t="s">
        <v>26</v>
      </c>
      <c r="I10" s="172" t="str">
        <f>VLOOKUP(H10,Sheet4!A:B,2,)</f>
        <v>Gloss Black Polisph Face</v>
      </c>
      <c r="J10" s="42">
        <f>8-4-4+4-4+4+4-4-4</f>
        <v>0</v>
      </c>
    </row>
    <row r="11" ht="28" customHeight="1" spans="1:10">
      <c r="A11" s="34"/>
      <c r="B11" s="23" t="s">
        <v>30</v>
      </c>
      <c r="C11" s="43" t="s">
        <v>18</v>
      </c>
      <c r="D11" s="43" t="s">
        <v>31</v>
      </c>
      <c r="E11" s="43" t="s">
        <v>20</v>
      </c>
      <c r="F11" s="43">
        <v>35</v>
      </c>
      <c r="G11" s="43">
        <v>63.4</v>
      </c>
      <c r="H11" s="43" t="s">
        <v>26</v>
      </c>
      <c r="I11" s="174" t="str">
        <f>VLOOKUP(H11,Sheet4!A:B,2,)</f>
        <v>Gloss Black Polisph Face</v>
      </c>
      <c r="J11" s="43">
        <f>8-4+4-4-4+8-4-4</f>
        <v>0</v>
      </c>
    </row>
    <row r="12" s="6" customFormat="1" ht="112" customHeight="1" spans="1:10">
      <c r="A12" s="37"/>
      <c r="B12" s="38" t="s">
        <v>32</v>
      </c>
      <c r="C12" s="45" t="s">
        <v>33</v>
      </c>
      <c r="D12" s="45" t="s">
        <v>34</v>
      </c>
      <c r="E12" s="45" t="s">
        <v>35</v>
      </c>
      <c r="F12" s="45">
        <v>40</v>
      </c>
      <c r="G12" s="45">
        <v>87.1</v>
      </c>
      <c r="H12" s="45" t="s">
        <v>36</v>
      </c>
      <c r="I12" s="380" t="str">
        <f>VLOOKUP(H12,Sheet4!A:B,2,)</f>
        <v>Black Machine Face</v>
      </c>
      <c r="J12" s="45">
        <f>4-4+8-4-2+2-4+4+4-4-4</f>
        <v>0</v>
      </c>
    </row>
    <row r="13" s="6" customFormat="1" ht="60" customHeight="1" spans="1:10">
      <c r="A13" s="82"/>
      <c r="B13" s="134" t="s">
        <v>37</v>
      </c>
      <c r="C13" s="179" t="s">
        <v>38</v>
      </c>
      <c r="D13" s="177" t="s">
        <v>39</v>
      </c>
      <c r="E13" s="177" t="s">
        <v>40</v>
      </c>
      <c r="F13" s="177">
        <v>35</v>
      </c>
      <c r="G13" s="177">
        <v>70.5</v>
      </c>
      <c r="H13" s="179" t="s">
        <v>21</v>
      </c>
      <c r="I13" s="181" t="str">
        <f>VLOOKUP(H13,Sheet4!A:B,2,)</f>
        <v>Black Machine Face</v>
      </c>
      <c r="J13" s="42">
        <f>4-4+4-4+4-4</f>
        <v>0</v>
      </c>
    </row>
    <row r="14" s="6" customFormat="1" ht="52" customHeight="1" spans="1:10">
      <c r="A14" s="34"/>
      <c r="B14" s="23" t="s">
        <v>41</v>
      </c>
      <c r="C14" s="43" t="s">
        <v>38</v>
      </c>
      <c r="D14" s="43" t="s">
        <v>34</v>
      </c>
      <c r="E14" s="43" t="s">
        <v>40</v>
      </c>
      <c r="F14" s="43">
        <v>35</v>
      </c>
      <c r="G14" s="43">
        <v>70.5</v>
      </c>
      <c r="H14" s="43" t="s">
        <v>21</v>
      </c>
      <c r="I14" s="174" t="str">
        <f>VLOOKUP(H14,Sheet4!A:B,2,)</f>
        <v>Black Machine Face</v>
      </c>
      <c r="J14" s="43">
        <f>4-4+4-4+4-4</f>
        <v>0</v>
      </c>
    </row>
    <row r="15" s="6" customFormat="1" ht="106" customHeight="1" spans="1:10">
      <c r="A15" s="22"/>
      <c r="B15" s="23" t="s">
        <v>42</v>
      </c>
      <c r="C15" s="43" t="s">
        <v>43</v>
      </c>
      <c r="D15" s="43" t="s">
        <v>44</v>
      </c>
      <c r="E15" s="381" t="s">
        <v>45</v>
      </c>
      <c r="F15" s="43">
        <v>40</v>
      </c>
      <c r="G15" s="43">
        <v>65.1</v>
      </c>
      <c r="H15" s="43" t="s">
        <v>16</v>
      </c>
      <c r="I15" s="174" t="str">
        <f>VLOOKUP(H15,Sheet4!A:B,2,)</f>
        <v>GLOSS BLACK</v>
      </c>
      <c r="J15" s="43">
        <f>4-4+8-4-4+4-4+4+4-4-4+8</f>
        <v>8</v>
      </c>
    </row>
    <row r="16" s="6" customFormat="1" ht="112" customHeight="1" spans="1:10">
      <c r="A16" s="22"/>
      <c r="B16" s="23" t="s">
        <v>46</v>
      </c>
      <c r="C16" s="43" t="s">
        <v>43</v>
      </c>
      <c r="D16" s="43" t="s">
        <v>44</v>
      </c>
      <c r="E16" s="381" t="s">
        <v>45</v>
      </c>
      <c r="F16" s="43">
        <v>40</v>
      </c>
      <c r="G16" s="43">
        <v>65.1</v>
      </c>
      <c r="H16" s="43" t="s">
        <v>21</v>
      </c>
      <c r="I16" s="174" t="str">
        <f>VLOOKUP(H16,Sheet4!A:B,2,)</f>
        <v>Black Machine Face</v>
      </c>
      <c r="J16" s="43">
        <f>4+8-4-4-4+4-4</f>
        <v>0</v>
      </c>
    </row>
    <row r="17" s="6" customFormat="1" ht="62" customHeight="1" spans="1:10">
      <c r="A17" s="18"/>
      <c r="B17" s="19" t="s">
        <v>47</v>
      </c>
      <c r="C17" s="42" t="s">
        <v>43</v>
      </c>
      <c r="D17" s="42" t="s">
        <v>44</v>
      </c>
      <c r="E17" s="382" t="s">
        <v>45</v>
      </c>
      <c r="F17" s="42">
        <v>40</v>
      </c>
      <c r="G17" s="42">
        <v>65.1</v>
      </c>
      <c r="H17" s="42" t="s">
        <v>16</v>
      </c>
      <c r="I17" s="172" t="s">
        <v>48</v>
      </c>
      <c r="J17" s="42">
        <f>12-4-4-4</f>
        <v>0</v>
      </c>
    </row>
    <row r="18" s="6" customFormat="1" ht="62" customHeight="1" spans="1:10">
      <c r="A18" s="82"/>
      <c r="B18" s="134" t="s">
        <v>49</v>
      </c>
      <c r="C18" s="42" t="s">
        <v>43</v>
      </c>
      <c r="D18" s="42" t="s">
        <v>44</v>
      </c>
      <c r="E18" s="166" t="s">
        <v>45</v>
      </c>
      <c r="F18" s="42">
        <v>40</v>
      </c>
      <c r="G18" s="42">
        <v>65.1</v>
      </c>
      <c r="H18" s="42" t="s">
        <v>14</v>
      </c>
      <c r="I18" s="172" t="str">
        <f>VLOOKUP(H18,Sheet4!A:B,2,)</f>
        <v>Black Electroplate</v>
      </c>
      <c r="J18" s="42">
        <f>3+5-4-4+4+7-4+4-1-4-4+4-4-1-1+12-4+1-1-8+8+4-8-4+24-4-12-4-4</f>
        <v>0</v>
      </c>
    </row>
    <row r="19" ht="110" customHeight="1" spans="1:10">
      <c r="A19" s="126"/>
      <c r="B19" s="313" t="s">
        <v>50</v>
      </c>
      <c r="C19" s="45" t="s">
        <v>51</v>
      </c>
      <c r="D19" s="45" t="s">
        <v>29</v>
      </c>
      <c r="E19" s="40" t="s">
        <v>52</v>
      </c>
      <c r="F19" s="45">
        <v>35</v>
      </c>
      <c r="G19" s="45">
        <v>95.1</v>
      </c>
      <c r="H19" s="45" t="s">
        <v>53</v>
      </c>
      <c r="I19" s="380" t="str">
        <f>VLOOKUP(H19,Sheet4!A:B,2,)</f>
        <v>polish</v>
      </c>
      <c r="J19" s="45">
        <f>8+4-4-4-4+4+4-4</f>
        <v>4</v>
      </c>
    </row>
    <row r="20" ht="49" customHeight="1" spans="1:10">
      <c r="A20" s="33"/>
      <c r="B20" s="19" t="s">
        <v>54</v>
      </c>
      <c r="C20" s="42" t="s">
        <v>51</v>
      </c>
      <c r="D20" s="42" t="s">
        <v>29</v>
      </c>
      <c r="E20" s="21" t="s">
        <v>52</v>
      </c>
      <c r="F20" s="42">
        <v>35</v>
      </c>
      <c r="G20" s="42">
        <v>95.1</v>
      </c>
      <c r="H20" s="42" t="s">
        <v>21</v>
      </c>
      <c r="I20" s="172" t="str">
        <f>VLOOKUP(H20,Sheet4!A:B,2,)</f>
        <v>Black Machine Face</v>
      </c>
      <c r="J20" s="42">
        <f>6+2-4-4+4-4+4-4</f>
        <v>0</v>
      </c>
    </row>
    <row r="21" ht="55" customHeight="1" spans="1:10">
      <c r="A21" s="34"/>
      <c r="B21" s="23" t="s">
        <v>55</v>
      </c>
      <c r="C21" s="43" t="s">
        <v>51</v>
      </c>
      <c r="D21" s="43" t="s">
        <v>56</v>
      </c>
      <c r="E21" s="25" t="s">
        <v>52</v>
      </c>
      <c r="F21" s="43">
        <v>35</v>
      </c>
      <c r="G21" s="43">
        <v>95.1</v>
      </c>
      <c r="H21" s="43" t="s">
        <v>21</v>
      </c>
      <c r="I21" s="174" t="str">
        <f>VLOOKUP(H21,Sheet4!A:B,2,)</f>
        <v>Black Machine Face</v>
      </c>
      <c r="J21" s="43">
        <f>8-4-4+4-4</f>
        <v>0</v>
      </c>
    </row>
    <row r="22" s="8" customFormat="1" ht="24" customHeight="1" spans="1:10">
      <c r="A22" s="33"/>
      <c r="B22" s="134" t="s">
        <v>57</v>
      </c>
      <c r="C22" s="179" t="s">
        <v>51</v>
      </c>
      <c r="D22" s="177" t="s">
        <v>58</v>
      </c>
      <c r="E22" s="294" t="s">
        <v>52</v>
      </c>
      <c r="F22" s="177">
        <v>35</v>
      </c>
      <c r="G22" s="177">
        <v>95.1</v>
      </c>
      <c r="H22" s="179" t="s">
        <v>59</v>
      </c>
      <c r="I22" s="181" t="str">
        <f>VLOOKUP(H22,Sheet4!A:B,2,)</f>
        <v>hyper black</v>
      </c>
      <c r="J22" s="42">
        <f>8-5+13-4-4+4-4</f>
        <v>8</v>
      </c>
    </row>
    <row r="23" s="6" customFormat="1" ht="24" customHeight="1" spans="1:10">
      <c r="A23" s="44"/>
      <c r="B23" s="134" t="s">
        <v>60</v>
      </c>
      <c r="C23" s="179" t="s">
        <v>51</v>
      </c>
      <c r="D23" s="177" t="s">
        <v>29</v>
      </c>
      <c r="E23" s="294" t="s">
        <v>52</v>
      </c>
      <c r="F23" s="177">
        <v>45</v>
      </c>
      <c r="G23" s="177">
        <v>95.1</v>
      </c>
      <c r="H23" s="179" t="s">
        <v>61</v>
      </c>
      <c r="I23" s="181" t="e">
        <f>VLOOKUP(H23,Sheet4!A:B,2,)</f>
        <v>#N/A</v>
      </c>
      <c r="J23" s="42">
        <f>1+16-4-5-4-4+16-4-4-4-4+1-1+12-4+4+20-4-4-4+4-4+12-4-4+4+3+1-4-4-8-4-4-4-4+4-2+10-4-4-4+4+8-4-4-4+12-4-4-4+12-4-4-4+4-4+4</f>
        <v>4</v>
      </c>
    </row>
    <row r="24" s="6" customFormat="1" ht="24" customHeight="1" spans="1:10">
      <c r="A24" s="44"/>
      <c r="B24" s="134" t="s">
        <v>62</v>
      </c>
      <c r="C24" s="179" t="s">
        <v>51</v>
      </c>
      <c r="D24" s="177" t="s">
        <v>29</v>
      </c>
      <c r="E24" s="294" t="s">
        <v>52</v>
      </c>
      <c r="F24" s="177">
        <v>45</v>
      </c>
      <c r="G24" s="177">
        <v>95.1</v>
      </c>
      <c r="H24" s="179" t="s">
        <v>59</v>
      </c>
      <c r="I24" s="181" t="str">
        <f>VLOOKUP(H24,Sheet4!A:B,2,)</f>
        <v>hyper black</v>
      </c>
      <c r="J24" s="42">
        <f>4+8+4-4-4-4-4+4-4</f>
        <v>0</v>
      </c>
    </row>
    <row r="25" s="6" customFormat="1" ht="24" customHeight="1" spans="1:10">
      <c r="A25" s="44"/>
      <c r="B25" s="134" t="s">
        <v>63</v>
      </c>
      <c r="C25" s="179" t="s">
        <v>51</v>
      </c>
      <c r="D25" s="177" t="s">
        <v>29</v>
      </c>
      <c r="E25" s="294" t="s">
        <v>52</v>
      </c>
      <c r="F25" s="177">
        <v>35</v>
      </c>
      <c r="G25" s="177">
        <v>95.1</v>
      </c>
      <c r="H25" s="179" t="s">
        <v>16</v>
      </c>
      <c r="I25" s="181" t="str">
        <f>VLOOKUP(H25,Sheet4!A:B,2,)</f>
        <v>GLOSS BLACK</v>
      </c>
      <c r="J25" s="42">
        <f>4-4+4-4+12-4-5+9-4-4-4+12-5-4+1-4+12</f>
        <v>12</v>
      </c>
    </row>
    <row r="26" s="6" customFormat="1" ht="24" customHeight="1" spans="1:10">
      <c r="A26" s="82"/>
      <c r="B26" s="134" t="s">
        <v>64</v>
      </c>
      <c r="C26" s="179" t="s">
        <v>65</v>
      </c>
      <c r="D26" s="177" t="s">
        <v>29</v>
      </c>
      <c r="E26" s="383" t="s">
        <v>66</v>
      </c>
      <c r="F26" s="177">
        <v>35</v>
      </c>
      <c r="G26" s="177">
        <v>110.1</v>
      </c>
      <c r="H26" s="179" t="s">
        <v>67</v>
      </c>
      <c r="I26" s="181" t="str">
        <f>VLOOKUP(H26,Sheet4!A:B,2,)</f>
        <v>silver plating</v>
      </c>
      <c r="J26" s="42">
        <f>8+4-4-4-4+4-1-3+4-4+8+4-4-4-4+12-4-4-4+12-4</f>
        <v>8</v>
      </c>
    </row>
    <row r="27" s="6" customFormat="1" ht="105" customHeight="1" spans="1:10">
      <c r="A27" s="126"/>
      <c r="B27" s="313" t="s">
        <v>68</v>
      </c>
      <c r="C27" s="384" t="s">
        <v>51</v>
      </c>
      <c r="D27" s="385" t="s">
        <v>29</v>
      </c>
      <c r="E27" s="384" t="s">
        <v>52</v>
      </c>
      <c r="F27" s="386">
        <v>35</v>
      </c>
      <c r="G27" s="386">
        <v>95.1</v>
      </c>
      <c r="H27" s="386" t="s">
        <v>69</v>
      </c>
      <c r="I27" s="387" t="str">
        <f>VLOOKUP(H27,Sheet4!A:B,2,)</f>
        <v>GREY</v>
      </c>
      <c r="J27" s="45">
        <f>4-4+4-4+9-1-4-4</f>
        <v>0</v>
      </c>
    </row>
    <row r="28" s="8" customFormat="1" ht="56" customHeight="1" spans="1:10">
      <c r="A28" s="52"/>
      <c r="B28" s="53" t="s">
        <v>70</v>
      </c>
      <c r="C28" s="55" t="s">
        <v>71</v>
      </c>
      <c r="D28" s="55" t="s">
        <v>29</v>
      </c>
      <c r="E28" s="55" t="s">
        <v>13</v>
      </c>
      <c r="F28" s="55">
        <v>20</v>
      </c>
      <c r="G28" s="55">
        <v>60.1</v>
      </c>
      <c r="H28" s="55" t="s">
        <v>21</v>
      </c>
      <c r="I28" s="176" t="str">
        <f>VLOOKUP(H28,Sheet4!A:B,2,)</f>
        <v>Black Machine Face</v>
      </c>
      <c r="J28" s="55">
        <f>4-4+4-4+4-4+4-4+4-4+8-4-4+8</f>
        <v>8</v>
      </c>
    </row>
    <row r="29" s="8" customFormat="1" ht="56" customHeight="1" spans="1:10">
      <c r="A29" s="46"/>
      <c r="B29" s="155" t="s">
        <v>72</v>
      </c>
      <c r="C29" s="43" t="s">
        <v>71</v>
      </c>
      <c r="D29" s="306" t="s">
        <v>29</v>
      </c>
      <c r="E29" s="306" t="s">
        <v>13</v>
      </c>
      <c r="F29" s="306">
        <v>20</v>
      </c>
      <c r="G29" s="306">
        <v>60.1</v>
      </c>
      <c r="H29" s="182" t="s">
        <v>14</v>
      </c>
      <c r="I29" s="184" t="str">
        <f>VLOOKUP(H29,Sheet4!A:B,2,)</f>
        <v>Black Electroplate</v>
      </c>
      <c r="J29" s="43">
        <f>4+8-4-4-4+12-4-2-2+2-4+4+4-4-4+1+1-4</f>
        <v>0</v>
      </c>
    </row>
    <row r="30" s="6" customFormat="1" ht="60" customHeight="1" spans="1:10">
      <c r="A30" s="52"/>
      <c r="B30" s="286" t="s">
        <v>73</v>
      </c>
      <c r="C30" s="388" t="s">
        <v>74</v>
      </c>
      <c r="D30" s="389" t="s">
        <v>12</v>
      </c>
      <c r="E30" s="389" t="s">
        <v>40</v>
      </c>
      <c r="F30" s="389">
        <v>35</v>
      </c>
      <c r="G30" s="389">
        <v>60.1</v>
      </c>
      <c r="H30" s="388" t="s">
        <v>59</v>
      </c>
      <c r="I30" s="390" t="str">
        <f>VLOOKUP(H30,Sheet4!A:B,2,)</f>
        <v>hyper black</v>
      </c>
      <c r="J30" s="55">
        <f>4-4+4-4+8-4-4+4+4-4-4</f>
        <v>0</v>
      </c>
    </row>
    <row r="31" s="6" customFormat="1" ht="60" customHeight="1" spans="1:10">
      <c r="A31" s="46"/>
      <c r="B31" s="155" t="s">
        <v>75</v>
      </c>
      <c r="C31" s="182" t="s">
        <v>74</v>
      </c>
      <c r="D31" s="306" t="s">
        <v>23</v>
      </c>
      <c r="E31" s="306" t="s">
        <v>40</v>
      </c>
      <c r="F31" s="306">
        <v>35</v>
      </c>
      <c r="G31" s="306">
        <v>60.1</v>
      </c>
      <c r="H31" s="182" t="s">
        <v>59</v>
      </c>
      <c r="I31" s="184" t="str">
        <f>VLOOKUP(H31,Sheet4!A:B,2,)</f>
        <v>hyper black</v>
      </c>
      <c r="J31" s="43">
        <f>4-4+4-4+4-4+4-4+4-4+8-4-4</f>
        <v>0</v>
      </c>
    </row>
    <row r="32" s="6" customFormat="1" ht="57" customHeight="1" spans="1:10">
      <c r="A32" s="52"/>
      <c r="B32" s="134" t="s">
        <v>76</v>
      </c>
      <c r="C32" s="179" t="s">
        <v>74</v>
      </c>
      <c r="D32" s="177" t="s">
        <v>12</v>
      </c>
      <c r="E32" s="177" t="s">
        <v>40</v>
      </c>
      <c r="F32" s="177">
        <v>35</v>
      </c>
      <c r="G32" s="177">
        <v>60.1</v>
      </c>
      <c r="H32" s="179" t="s">
        <v>59</v>
      </c>
      <c r="I32" s="181" t="str">
        <f>VLOOKUP(H32,Sheet4!A:B,2,)</f>
        <v>hyper black</v>
      </c>
      <c r="J32" s="42">
        <f>8-4-4+4-4+4-4+8-4-4+8-4-4+12-4-4-4+4+12-4+4-4-4-4-4+4-4+20-4</f>
        <v>16</v>
      </c>
    </row>
    <row r="33" s="6" customFormat="1" ht="57" customHeight="1" spans="1:10">
      <c r="A33" s="46"/>
      <c r="B33" s="155" t="s">
        <v>77</v>
      </c>
      <c r="C33" s="182" t="s">
        <v>74</v>
      </c>
      <c r="D33" s="306" t="s">
        <v>23</v>
      </c>
      <c r="E33" s="306" t="s">
        <v>40</v>
      </c>
      <c r="F33" s="306">
        <v>35</v>
      </c>
      <c r="G33" s="306">
        <v>60.1</v>
      </c>
      <c r="H33" s="182" t="s">
        <v>59</v>
      </c>
      <c r="I33" s="184" t="str">
        <f>VLOOKUP(H33,Sheet4!A:B,2,)</f>
        <v>hyper black</v>
      </c>
      <c r="J33" s="43">
        <f>8-4</f>
        <v>4</v>
      </c>
    </row>
    <row r="34" s="6" customFormat="1" ht="60" customHeight="1" spans="1:10">
      <c r="A34" s="82"/>
      <c r="B34" s="134" t="s">
        <v>78</v>
      </c>
      <c r="C34" s="179" t="s">
        <v>79</v>
      </c>
      <c r="D34" s="177" t="s">
        <v>44</v>
      </c>
      <c r="E34" s="177" t="s">
        <v>40</v>
      </c>
      <c r="F34" s="177">
        <v>35</v>
      </c>
      <c r="G34" s="177">
        <v>60.1</v>
      </c>
      <c r="H34" s="179" t="s">
        <v>59</v>
      </c>
      <c r="I34" s="181" t="str">
        <f>VLOOKUP(H34,Sheet4!A:B,2,)</f>
        <v>hyper black</v>
      </c>
      <c r="J34" s="42">
        <f>4-4+4-4+4-4+4-4+8</f>
        <v>8</v>
      </c>
    </row>
    <row r="35" s="6" customFormat="1" ht="60" customHeight="1" spans="1:10">
      <c r="A35" s="84"/>
      <c r="B35" s="155" t="s">
        <v>80</v>
      </c>
      <c r="C35" s="182" t="s">
        <v>79</v>
      </c>
      <c r="D35" s="306" t="s">
        <v>29</v>
      </c>
      <c r="E35" s="306" t="s">
        <v>40</v>
      </c>
      <c r="F35" s="306">
        <v>35</v>
      </c>
      <c r="G35" s="306">
        <v>60.1</v>
      </c>
      <c r="H35" s="182" t="s">
        <v>59</v>
      </c>
      <c r="I35" s="184" t="str">
        <f>VLOOKUP(H35,Sheet4!A:B,2,)</f>
        <v>hyper black</v>
      </c>
      <c r="J35" s="43">
        <f>4+4-4-4+8-4-4</f>
        <v>0</v>
      </c>
    </row>
    <row r="36" s="6" customFormat="1" ht="52" customHeight="1" spans="1:10">
      <c r="A36" s="46"/>
      <c r="B36" s="134" t="s">
        <v>81</v>
      </c>
      <c r="C36" s="179" t="s">
        <v>82</v>
      </c>
      <c r="D36" s="177" t="s">
        <v>31</v>
      </c>
      <c r="E36" s="177" t="s">
        <v>52</v>
      </c>
      <c r="F36" s="177">
        <v>35</v>
      </c>
      <c r="G36" s="177">
        <v>95.1</v>
      </c>
      <c r="H36" s="179" t="s">
        <v>21</v>
      </c>
      <c r="I36" s="181" t="str">
        <f>VLOOKUP(H36,Sheet4!A:B,2,)</f>
        <v>Black Machine Face</v>
      </c>
      <c r="J36" s="42">
        <f>12-4-4-4+4+4-4-4+4-4</f>
        <v>0</v>
      </c>
    </row>
    <row r="37" s="6" customFormat="1" ht="61" customHeight="1" spans="1:10">
      <c r="A37" s="160"/>
      <c r="B37" s="155" t="s">
        <v>83</v>
      </c>
      <c r="C37" s="182" t="s">
        <v>82</v>
      </c>
      <c r="D37" s="306" t="s">
        <v>56</v>
      </c>
      <c r="E37" s="306" t="s">
        <v>52</v>
      </c>
      <c r="F37" s="306">
        <v>35</v>
      </c>
      <c r="G37" s="306">
        <v>95.1</v>
      </c>
      <c r="H37" s="182" t="s">
        <v>21</v>
      </c>
      <c r="I37" s="184" t="str">
        <f>VLOOKUP(H37,Sheet4!A:B,2,)</f>
        <v>Black Machine Face</v>
      </c>
      <c r="J37" s="43">
        <f>12-4-4-4+4+4-4-4+4-4+4-4+4-4+4+4-4-4+8-4+8-4</f>
        <v>8</v>
      </c>
    </row>
    <row r="38" s="6" customFormat="1" ht="36" customHeight="1" spans="1:10">
      <c r="A38" s="82"/>
      <c r="B38" s="134" t="s">
        <v>84</v>
      </c>
      <c r="C38" s="179" t="s">
        <v>82</v>
      </c>
      <c r="D38" s="177" t="s">
        <v>31</v>
      </c>
      <c r="E38" s="177" t="s">
        <v>52</v>
      </c>
      <c r="F38" s="177">
        <v>35</v>
      </c>
      <c r="G38" s="177">
        <v>95.1</v>
      </c>
      <c r="H38" s="179" t="s">
        <v>21</v>
      </c>
      <c r="I38" s="181" t="str">
        <f>VLOOKUP(H38,Sheet4!A:B,2,)</f>
        <v>Black Machine Face</v>
      </c>
      <c r="J38" s="42">
        <f>4-4</f>
        <v>0</v>
      </c>
    </row>
    <row r="39" s="6" customFormat="1" ht="36" customHeight="1" spans="1:10">
      <c r="A39" s="82"/>
      <c r="B39" s="134" t="s">
        <v>85</v>
      </c>
      <c r="C39" s="179" t="s">
        <v>82</v>
      </c>
      <c r="D39" s="177" t="s">
        <v>56</v>
      </c>
      <c r="E39" s="177" t="s">
        <v>52</v>
      </c>
      <c r="F39" s="177">
        <v>35</v>
      </c>
      <c r="G39" s="177">
        <v>95.1</v>
      </c>
      <c r="H39" s="179" t="s">
        <v>21</v>
      </c>
      <c r="I39" s="181" t="str">
        <f>VLOOKUP(H39,Sheet4!A:B,2,)</f>
        <v>Black Machine Face</v>
      </c>
      <c r="J39" s="42">
        <f>8-4-4+8+4-4-4</f>
        <v>4</v>
      </c>
    </row>
    <row r="40" s="6" customFormat="1" ht="36" customHeight="1" spans="1:10">
      <c r="A40" s="84"/>
      <c r="B40" s="155" t="s">
        <v>86</v>
      </c>
      <c r="C40" s="182" t="s">
        <v>82</v>
      </c>
      <c r="D40" s="306" t="s">
        <v>56</v>
      </c>
      <c r="E40" s="306" t="s">
        <v>52</v>
      </c>
      <c r="F40" s="306">
        <v>35</v>
      </c>
      <c r="G40" s="306">
        <v>95.1</v>
      </c>
      <c r="H40" s="182" t="s">
        <v>87</v>
      </c>
      <c r="I40" s="184" t="str">
        <f>VLOOKUP(H40,Sheet4!A:B,2,)</f>
        <v>Gunmetal Machine Face</v>
      </c>
      <c r="J40" s="43">
        <f>8-4-4+4-4+4-4</f>
        <v>0</v>
      </c>
    </row>
    <row r="41" ht="32" customHeight="1" spans="1:10">
      <c r="A41" s="82"/>
      <c r="B41" s="134" t="s">
        <v>88</v>
      </c>
      <c r="C41" s="179" t="s">
        <v>89</v>
      </c>
      <c r="D41" s="177" t="s">
        <v>12</v>
      </c>
      <c r="E41" s="177" t="s">
        <v>52</v>
      </c>
      <c r="F41" s="177">
        <v>25</v>
      </c>
      <c r="G41" s="177">
        <v>106.1</v>
      </c>
      <c r="H41" s="179" t="s">
        <v>87</v>
      </c>
      <c r="I41" s="181" t="str">
        <f>VLOOKUP(H41,Sheet4!A:B,2,)</f>
        <v>Gunmetal Machine Face</v>
      </c>
      <c r="J41" s="42">
        <f>4-4+8-4-4+4-4+12-4-4</f>
        <v>4</v>
      </c>
    </row>
    <row r="42" ht="32" customHeight="1" spans="1:10">
      <c r="A42" s="82"/>
      <c r="B42" s="134" t="s">
        <v>90</v>
      </c>
      <c r="C42" s="179" t="s">
        <v>89</v>
      </c>
      <c r="D42" s="177" t="s">
        <v>12</v>
      </c>
      <c r="E42" s="177" t="s">
        <v>52</v>
      </c>
      <c r="F42" s="177">
        <v>25</v>
      </c>
      <c r="G42" s="177">
        <v>106.1</v>
      </c>
      <c r="H42" s="179" t="s">
        <v>21</v>
      </c>
      <c r="I42" s="181" t="str">
        <f>VLOOKUP(H42,Sheet4!A:B,2,)</f>
        <v>Black Machine Face</v>
      </c>
      <c r="J42" s="42">
        <f>4-4+4-4+8-4-4+12-4-4-4</f>
        <v>0</v>
      </c>
    </row>
    <row r="43" ht="32" customHeight="1" spans="1:10">
      <c r="A43" s="82"/>
      <c r="B43" s="134" t="s">
        <v>91</v>
      </c>
      <c r="C43" s="179" t="s">
        <v>89</v>
      </c>
      <c r="D43" s="177" t="s">
        <v>29</v>
      </c>
      <c r="E43" s="177" t="s">
        <v>52</v>
      </c>
      <c r="F43" s="177">
        <v>25</v>
      </c>
      <c r="G43" s="177">
        <v>106.1</v>
      </c>
      <c r="H43" s="179" t="s">
        <v>87</v>
      </c>
      <c r="I43" s="181" t="str">
        <f>VLOOKUP(H43,Sheet4!A:B,2,)</f>
        <v>Gunmetal Machine Face</v>
      </c>
      <c r="J43" s="42">
        <f>8-4-4+8-4-4</f>
        <v>0</v>
      </c>
    </row>
    <row r="44" ht="32" customHeight="1" spans="1:10">
      <c r="A44" s="84"/>
      <c r="B44" s="155" t="s">
        <v>92</v>
      </c>
      <c r="C44" s="182" t="s">
        <v>89</v>
      </c>
      <c r="D44" s="306" t="s">
        <v>29</v>
      </c>
      <c r="E44" s="306" t="s">
        <v>52</v>
      </c>
      <c r="F44" s="306">
        <v>25</v>
      </c>
      <c r="G44" s="306">
        <v>106.1</v>
      </c>
      <c r="H44" s="182" t="s">
        <v>36</v>
      </c>
      <c r="I44" s="184" t="str">
        <f>VLOOKUP(H44,Sheet4!A:B,2,)</f>
        <v>Black Machine Face</v>
      </c>
      <c r="J44" s="43">
        <f>4-4+12-4-4-4+12-4</f>
        <v>8</v>
      </c>
    </row>
    <row r="45" s="6" customFormat="1" ht="22" customHeight="1" spans="1:10">
      <c r="A45" s="33"/>
      <c r="B45" s="134" t="s">
        <v>93</v>
      </c>
      <c r="C45" s="179" t="s">
        <v>51</v>
      </c>
      <c r="D45" s="177" t="s">
        <v>29</v>
      </c>
      <c r="E45" s="177" t="s">
        <v>52</v>
      </c>
      <c r="F45" s="177">
        <v>35</v>
      </c>
      <c r="G45" s="177">
        <v>95.1</v>
      </c>
      <c r="H45" s="179" t="s">
        <v>21</v>
      </c>
      <c r="I45" s="181" t="str">
        <f>VLOOKUP(H45,Sheet4!A:B,2,)</f>
        <v>Black Machine Face</v>
      </c>
      <c r="J45" s="21">
        <f>8-4-4+12-4-4-4+12-5-4+5+9-4-4</f>
        <v>9</v>
      </c>
    </row>
    <row r="46" s="6" customFormat="1" ht="22" customHeight="1" spans="1:10">
      <c r="A46" s="33"/>
      <c r="B46" s="134" t="s">
        <v>94</v>
      </c>
      <c r="C46" s="179" t="s">
        <v>51</v>
      </c>
      <c r="D46" s="177" t="s">
        <v>29</v>
      </c>
      <c r="E46" s="177" t="s">
        <v>52</v>
      </c>
      <c r="F46" s="177">
        <v>35</v>
      </c>
      <c r="G46" s="177">
        <v>95.1</v>
      </c>
      <c r="H46" s="179" t="s">
        <v>87</v>
      </c>
      <c r="I46" s="181" t="str">
        <f>VLOOKUP(H46,Sheet4!A:B,2,)</f>
        <v>Gunmetal Machine Face</v>
      </c>
      <c r="J46" s="21">
        <f>8-4-4+4-4+4-4+8-4+4-4-4+12-4</f>
        <v>8</v>
      </c>
    </row>
    <row r="47" s="6" customFormat="1" ht="22" customHeight="1" spans="1:10">
      <c r="A47" s="33"/>
      <c r="B47" s="134" t="s">
        <v>95</v>
      </c>
      <c r="C47" s="179" t="s">
        <v>65</v>
      </c>
      <c r="D47" s="177" t="s">
        <v>58</v>
      </c>
      <c r="E47" s="177" t="s">
        <v>66</v>
      </c>
      <c r="F47" s="177">
        <v>40</v>
      </c>
      <c r="G47" s="177">
        <v>110.1</v>
      </c>
      <c r="H47" s="179" t="s">
        <v>87</v>
      </c>
      <c r="I47" s="181" t="str">
        <f>VLOOKUP(H47,Sheet4!A:B,2,)</f>
        <v>Gunmetal Machine Face</v>
      </c>
      <c r="J47" s="21">
        <f>8-4-4</f>
        <v>0</v>
      </c>
    </row>
    <row r="48" s="6" customFormat="1" ht="22" customHeight="1" spans="1:10">
      <c r="A48" s="33"/>
      <c r="B48" s="134" t="s">
        <v>96</v>
      </c>
      <c r="C48" s="179" t="s">
        <v>65</v>
      </c>
      <c r="D48" s="177" t="s">
        <v>12</v>
      </c>
      <c r="E48" s="177" t="s">
        <v>66</v>
      </c>
      <c r="F48" s="177">
        <v>40</v>
      </c>
      <c r="G48" s="177">
        <v>110.1</v>
      </c>
      <c r="H48" s="179" t="s">
        <v>21</v>
      </c>
      <c r="I48" s="181" t="str">
        <f>VLOOKUP(H48,Sheet4!A:B,2,)</f>
        <v>Black Machine Face</v>
      </c>
      <c r="J48" s="21">
        <f>4-4+8-4+4-4+4-4-4+4+8</f>
        <v>12</v>
      </c>
    </row>
    <row r="49" s="6" customFormat="1" ht="22" customHeight="1" spans="1:10">
      <c r="A49" s="44"/>
      <c r="B49" s="134" t="s">
        <v>97</v>
      </c>
      <c r="C49" s="179" t="s">
        <v>65</v>
      </c>
      <c r="D49" s="177" t="s">
        <v>29</v>
      </c>
      <c r="E49" s="177" t="s">
        <v>66</v>
      </c>
      <c r="F49" s="177">
        <v>40</v>
      </c>
      <c r="G49" s="177">
        <v>110.1</v>
      </c>
      <c r="H49" s="179" t="s">
        <v>21</v>
      </c>
      <c r="I49" s="181" t="str">
        <f>VLOOKUP(H49,Sheet4!A:B,2,)</f>
        <v>Black Machine Face</v>
      </c>
      <c r="J49" s="21">
        <v>1</v>
      </c>
    </row>
    <row r="50" s="6" customFormat="1" ht="22" customHeight="1" spans="1:10">
      <c r="A50" s="82"/>
      <c r="B50" s="134" t="s">
        <v>98</v>
      </c>
      <c r="C50" s="179" t="s">
        <v>65</v>
      </c>
      <c r="D50" s="177" t="s">
        <v>29</v>
      </c>
      <c r="E50" s="177" t="s">
        <v>66</v>
      </c>
      <c r="F50" s="177">
        <v>35</v>
      </c>
      <c r="G50" s="177">
        <v>110.1</v>
      </c>
      <c r="H50" s="179" t="s">
        <v>87</v>
      </c>
      <c r="I50" s="181" t="str">
        <f>VLOOKUP(H50,Sheet4!A:B,2,)</f>
        <v>Gunmetal Machine Face</v>
      </c>
      <c r="J50" s="21">
        <f>4-4+8-4-4+4-4+4-4+4+8-4-4-4+8+4-4-4</f>
        <v>4</v>
      </c>
    </row>
    <row r="51" s="6" customFormat="1" ht="22" customHeight="1" spans="1:10">
      <c r="A51" s="44"/>
      <c r="B51" s="134" t="s">
        <v>99</v>
      </c>
      <c r="C51" s="179" t="s">
        <v>65</v>
      </c>
      <c r="D51" s="177" t="s">
        <v>29</v>
      </c>
      <c r="E51" s="177" t="s">
        <v>66</v>
      </c>
      <c r="F51" s="177">
        <v>35</v>
      </c>
      <c r="G51" s="177">
        <v>110.1</v>
      </c>
      <c r="H51" s="179" t="s">
        <v>21</v>
      </c>
      <c r="I51" s="181" t="str">
        <f>VLOOKUP(H51,Sheet4!A:B,2,)</f>
        <v>Black Machine Face</v>
      </c>
      <c r="J51" s="21">
        <f>4+4-4-4+4-4+4-4+8+4-4-4-4+4-4+12-4+4-4-4-4+8-4+4-4-4+8-4+4+4-4-4-4</f>
        <v>0</v>
      </c>
    </row>
    <row r="52" s="6" customFormat="1" ht="22" customHeight="1" spans="1:10">
      <c r="A52" s="44"/>
      <c r="B52" s="134" t="s">
        <v>100</v>
      </c>
      <c r="C52" s="179" t="s">
        <v>65</v>
      </c>
      <c r="D52" s="177" t="s">
        <v>101</v>
      </c>
      <c r="E52" s="177" t="s">
        <v>66</v>
      </c>
      <c r="F52" s="177">
        <v>40</v>
      </c>
      <c r="G52" s="177">
        <v>110.1</v>
      </c>
      <c r="H52" s="179" t="s">
        <v>102</v>
      </c>
      <c r="I52" s="181" t="str">
        <f>VLOOKUP(H52,Sheet4!A:B,2,)</f>
        <v>MATTE BLACK</v>
      </c>
      <c r="J52" s="21">
        <v>0</v>
      </c>
    </row>
    <row r="53" s="6" customFormat="1" ht="22" customHeight="1" spans="1:10">
      <c r="A53" s="44"/>
      <c r="B53" s="134" t="s">
        <v>103</v>
      </c>
      <c r="C53" s="179" t="s">
        <v>65</v>
      </c>
      <c r="D53" s="294" t="s">
        <v>101</v>
      </c>
      <c r="E53" s="294" t="s">
        <v>66</v>
      </c>
      <c r="F53" s="294">
        <v>35</v>
      </c>
      <c r="G53" s="294">
        <v>110.1</v>
      </c>
      <c r="H53" s="186" t="s">
        <v>21</v>
      </c>
      <c r="I53" s="391" t="str">
        <f>VLOOKUP(H53,Sheet4!A:B,2,)</f>
        <v>Black Machine Face</v>
      </c>
      <c r="J53" s="21">
        <f>4-4+8-4-4</f>
        <v>0</v>
      </c>
    </row>
    <row r="54" s="6" customFormat="1" ht="22" customHeight="1" spans="1:10">
      <c r="A54" s="44"/>
      <c r="B54" s="134" t="s">
        <v>104</v>
      </c>
      <c r="C54" s="179" t="s">
        <v>65</v>
      </c>
      <c r="D54" s="294" t="s">
        <v>31</v>
      </c>
      <c r="E54" s="294" t="s">
        <v>66</v>
      </c>
      <c r="F54" s="294">
        <v>40</v>
      </c>
      <c r="G54" s="294">
        <v>110.1</v>
      </c>
      <c r="H54" s="186" t="s">
        <v>16</v>
      </c>
      <c r="I54" s="391" t="str">
        <f>VLOOKUP(H54,Sheet4!A:B,2,)</f>
        <v>GLOSS BLACK</v>
      </c>
      <c r="J54" s="21">
        <v>4</v>
      </c>
    </row>
    <row r="55" s="6" customFormat="1" ht="22" customHeight="1" spans="1:10">
      <c r="A55" s="84"/>
      <c r="B55" s="155" t="s">
        <v>105</v>
      </c>
      <c r="C55" s="182" t="s">
        <v>65</v>
      </c>
      <c r="D55" s="306" t="s">
        <v>31</v>
      </c>
      <c r="E55" s="306" t="s">
        <v>66</v>
      </c>
      <c r="F55" s="306">
        <v>40</v>
      </c>
      <c r="G55" s="306">
        <v>110.1</v>
      </c>
      <c r="H55" s="182" t="s">
        <v>87</v>
      </c>
      <c r="I55" s="184" t="str">
        <f>VLOOKUP(H55,Sheet4!A:B,2,)</f>
        <v>Gunmetal Machine Face</v>
      </c>
      <c r="J55" s="25">
        <f>8-5+1-4</f>
        <v>0</v>
      </c>
    </row>
    <row r="56" s="6" customFormat="1" ht="114" customHeight="1" spans="1:10">
      <c r="A56" s="84"/>
      <c r="B56" s="155" t="s">
        <v>106</v>
      </c>
      <c r="C56" s="182" t="s">
        <v>107</v>
      </c>
      <c r="D56" s="306" t="s">
        <v>108</v>
      </c>
      <c r="E56" s="306" t="s">
        <v>13</v>
      </c>
      <c r="F56" s="306">
        <v>35</v>
      </c>
      <c r="G56" s="306">
        <v>60.1</v>
      </c>
      <c r="H56" s="182" t="s">
        <v>14</v>
      </c>
      <c r="I56" s="184" t="str">
        <f>VLOOKUP(H56,Sheet4!A:B,2,)</f>
        <v>Black Electroplate</v>
      </c>
      <c r="J56" s="25">
        <f>12-4-4-4+8+12</f>
        <v>20</v>
      </c>
    </row>
    <row r="57" s="6" customFormat="1" ht="122" customHeight="1" spans="1:10">
      <c r="A57" s="84"/>
      <c r="B57" s="155" t="s">
        <v>109</v>
      </c>
      <c r="C57" s="182" t="s">
        <v>65</v>
      </c>
      <c r="D57" s="306" t="s">
        <v>29</v>
      </c>
      <c r="E57" s="306" t="s">
        <v>66</v>
      </c>
      <c r="F57" s="306">
        <v>35</v>
      </c>
      <c r="G57" s="306">
        <v>110.1</v>
      </c>
      <c r="H57" s="182" t="s">
        <v>16</v>
      </c>
      <c r="I57" s="184" t="str">
        <f>VLOOKUP(H57,Sheet4!A:B,2,)</f>
        <v>GLOSS BLACK</v>
      </c>
      <c r="J57" s="43">
        <f>4-4+4-4</f>
        <v>0</v>
      </c>
    </row>
    <row r="58" s="6" customFormat="1" ht="63" customHeight="1" spans="1:10">
      <c r="A58" s="82"/>
      <c r="B58" s="134" t="s">
        <v>110</v>
      </c>
      <c r="C58" s="179" t="s">
        <v>65</v>
      </c>
      <c r="D58" s="177" t="s">
        <v>29</v>
      </c>
      <c r="E58" s="177" t="s">
        <v>66</v>
      </c>
      <c r="F58" s="177">
        <v>35</v>
      </c>
      <c r="G58" s="177">
        <v>110.1</v>
      </c>
      <c r="H58" s="179" t="s">
        <v>36</v>
      </c>
      <c r="I58" s="181" t="str">
        <f>VLOOKUP(H58,Sheet4!A:B,2,)</f>
        <v>Black Machine Face</v>
      </c>
      <c r="J58" s="42">
        <f>8-4-4+4-4+4-4+8-4+4-4-4+4-4+4+4-4-4</f>
        <v>0</v>
      </c>
    </row>
    <row r="59" ht="63" customHeight="1" spans="1:10">
      <c r="A59" s="84"/>
      <c r="B59" s="155" t="s">
        <v>111</v>
      </c>
      <c r="C59" s="182" t="s">
        <v>65</v>
      </c>
      <c r="D59" s="306" t="s">
        <v>29</v>
      </c>
      <c r="E59" s="306" t="s">
        <v>66</v>
      </c>
      <c r="F59" s="306">
        <v>35</v>
      </c>
      <c r="G59" s="306">
        <v>110</v>
      </c>
      <c r="H59" s="182" t="s">
        <v>87</v>
      </c>
      <c r="I59" s="184" t="str">
        <f>VLOOKUP(H59,Sheet4!A:B,2,)</f>
        <v>Gunmetal Machine Face</v>
      </c>
      <c r="J59" s="43">
        <f>8-4-4+4-4</f>
        <v>0</v>
      </c>
    </row>
    <row r="60" ht="108" customHeight="1" spans="1:10">
      <c r="A60" s="84"/>
      <c r="B60" s="155" t="s">
        <v>112</v>
      </c>
      <c r="C60" s="182" t="s">
        <v>65</v>
      </c>
      <c r="D60" s="306" t="s">
        <v>29</v>
      </c>
      <c r="E60" s="306" t="s">
        <v>66</v>
      </c>
      <c r="F60" s="306">
        <v>35</v>
      </c>
      <c r="G60" s="306">
        <v>110</v>
      </c>
      <c r="H60" s="182" t="s">
        <v>36</v>
      </c>
      <c r="I60" s="184" t="str">
        <f>VLOOKUP(H60,Sheet4!A:B,2,)</f>
        <v>Black Machine Face</v>
      </c>
      <c r="J60" s="43">
        <f>4-4</f>
        <v>0</v>
      </c>
    </row>
    <row r="61" s="6" customFormat="1" ht="119" customHeight="1" spans="1:10">
      <c r="A61" s="84"/>
      <c r="B61" s="155" t="s">
        <v>113</v>
      </c>
      <c r="C61" s="182" t="s">
        <v>65</v>
      </c>
      <c r="D61" s="306" t="s">
        <v>29</v>
      </c>
      <c r="E61" s="306" t="s">
        <v>66</v>
      </c>
      <c r="F61" s="306">
        <v>35</v>
      </c>
      <c r="G61" s="306">
        <v>110.5</v>
      </c>
      <c r="H61" s="182" t="s">
        <v>21</v>
      </c>
      <c r="I61" s="184" t="str">
        <f>VLOOKUP(H61,Sheet4!A:B,2,)</f>
        <v>Black Machine Face</v>
      </c>
      <c r="J61" s="43">
        <f>4-4+4-4+4-4+4+2+2-4+4-4-4</f>
        <v>0</v>
      </c>
    </row>
    <row r="62" s="8" customFormat="1" ht="113" customHeight="1" spans="1:10">
      <c r="A62" s="84"/>
      <c r="B62" s="23" t="s">
        <v>114</v>
      </c>
      <c r="C62" s="43" t="s">
        <v>115</v>
      </c>
      <c r="D62" s="306" t="s">
        <v>29</v>
      </c>
      <c r="E62" s="306" t="s">
        <v>40</v>
      </c>
      <c r="F62" s="306">
        <v>35</v>
      </c>
      <c r="G62" s="392">
        <v>60.1</v>
      </c>
      <c r="H62" s="182" t="s">
        <v>53</v>
      </c>
      <c r="I62" s="184" t="str">
        <f>VLOOKUP(H62,Sheet4!A:B,2,)</f>
        <v>polish</v>
      </c>
      <c r="J62" s="43">
        <v>0</v>
      </c>
    </row>
    <row r="63" s="8" customFormat="1" ht="28" customHeight="1" spans="1:10">
      <c r="A63" s="44"/>
      <c r="B63" s="286" t="s">
        <v>116</v>
      </c>
      <c r="C63" s="388" t="s">
        <v>115</v>
      </c>
      <c r="D63" s="389" t="s">
        <v>23</v>
      </c>
      <c r="E63" s="389" t="s">
        <v>40</v>
      </c>
      <c r="F63" s="389">
        <v>38</v>
      </c>
      <c r="G63" s="389">
        <v>60.1</v>
      </c>
      <c r="H63" s="388" t="s">
        <v>21</v>
      </c>
      <c r="I63" s="390" t="str">
        <f>VLOOKUP(H63,Sheet4!A:B,2,)</f>
        <v>Black Machine Face</v>
      </c>
      <c r="J63" s="393">
        <v>8</v>
      </c>
    </row>
    <row r="64" s="8" customFormat="1" ht="28" customHeight="1" spans="1:10">
      <c r="A64" s="44"/>
      <c r="B64" s="134" t="s">
        <v>117</v>
      </c>
      <c r="C64" s="179" t="s">
        <v>115</v>
      </c>
      <c r="D64" s="177" t="s">
        <v>29</v>
      </c>
      <c r="E64" s="177" t="s">
        <v>40</v>
      </c>
      <c r="F64" s="177">
        <v>38</v>
      </c>
      <c r="G64" s="177">
        <v>60.1</v>
      </c>
      <c r="H64" s="179" t="s">
        <v>21</v>
      </c>
      <c r="I64" s="181" t="str">
        <f>VLOOKUP(H64,Sheet4!A:B,2,)</f>
        <v>Black Machine Face</v>
      </c>
      <c r="J64" s="394">
        <f>8-4-4</f>
        <v>0</v>
      </c>
    </row>
    <row r="65" s="8" customFormat="1" ht="28" customHeight="1" spans="1:10">
      <c r="A65" s="44"/>
      <c r="B65" s="134" t="s">
        <v>118</v>
      </c>
      <c r="C65" s="179" t="s">
        <v>119</v>
      </c>
      <c r="D65" s="177" t="s">
        <v>23</v>
      </c>
      <c r="E65" s="177" t="s">
        <v>13</v>
      </c>
      <c r="F65" s="177">
        <v>38</v>
      </c>
      <c r="G65" s="177">
        <v>60.1</v>
      </c>
      <c r="H65" s="179" t="s">
        <v>21</v>
      </c>
      <c r="I65" s="181" t="str">
        <f>VLOOKUP(H65,Sheet4!A:B,2,)</f>
        <v>Black Machine Face</v>
      </c>
      <c r="J65" s="42">
        <f>8-4-4</f>
        <v>0</v>
      </c>
    </row>
    <row r="66" s="8" customFormat="1" ht="28" customHeight="1" spans="1:10">
      <c r="A66" s="46"/>
      <c r="B66" s="155" t="s">
        <v>120</v>
      </c>
      <c r="C66" s="182" t="s">
        <v>119</v>
      </c>
      <c r="D66" s="306" t="s">
        <v>29</v>
      </c>
      <c r="E66" s="306" t="s">
        <v>13</v>
      </c>
      <c r="F66" s="306">
        <v>38</v>
      </c>
      <c r="G66" s="306">
        <v>60.1</v>
      </c>
      <c r="H66" s="182" t="s">
        <v>21</v>
      </c>
      <c r="I66" s="184" t="str">
        <f>VLOOKUP(H66,Sheet4!A:B,2,)</f>
        <v>Black Machine Face</v>
      </c>
      <c r="J66" s="43">
        <f>8-4-4</f>
        <v>0</v>
      </c>
    </row>
    <row r="67" s="6" customFormat="1" ht="113" customHeight="1" spans="1:10">
      <c r="A67" s="84"/>
      <c r="B67" s="155" t="s">
        <v>121</v>
      </c>
      <c r="C67" s="182" t="s">
        <v>115</v>
      </c>
      <c r="D67" s="189" t="s">
        <v>12</v>
      </c>
      <c r="E67" s="182" t="s">
        <v>40</v>
      </c>
      <c r="F67" s="306">
        <v>35</v>
      </c>
      <c r="G67" s="306">
        <v>60.1</v>
      </c>
      <c r="H67" s="306" t="s">
        <v>36</v>
      </c>
      <c r="I67" s="395" t="str">
        <f>VLOOKUP(H67,Sheet4!A:B,2,)</f>
        <v>Black Machine Face</v>
      </c>
      <c r="J67" s="43">
        <f>4-4</f>
        <v>0</v>
      </c>
    </row>
    <row r="68" s="6" customFormat="1" ht="113" customHeight="1" spans="1:10">
      <c r="A68" s="84"/>
      <c r="B68" s="155" t="s">
        <v>122</v>
      </c>
      <c r="C68" s="182" t="s">
        <v>115</v>
      </c>
      <c r="D68" s="189" t="s">
        <v>29</v>
      </c>
      <c r="E68" s="182" t="s">
        <v>40</v>
      </c>
      <c r="F68" s="306">
        <v>35</v>
      </c>
      <c r="G68" s="306">
        <v>60.1</v>
      </c>
      <c r="H68" s="306" t="s">
        <v>36</v>
      </c>
      <c r="I68" s="395" t="str">
        <f>VLOOKUP(H68,Sheet4!A:B,2,)</f>
        <v>Black Machine Face</v>
      </c>
      <c r="J68" s="43">
        <f>8-4-4</f>
        <v>0</v>
      </c>
    </row>
    <row r="69" s="6" customFormat="1" ht="53" customHeight="1" spans="1:10">
      <c r="A69" s="82"/>
      <c r="B69" s="134" t="s">
        <v>123</v>
      </c>
      <c r="C69" s="179" t="s">
        <v>119</v>
      </c>
      <c r="D69" s="186" t="s">
        <v>44</v>
      </c>
      <c r="E69" s="179" t="s">
        <v>13</v>
      </c>
      <c r="F69" s="177">
        <v>35</v>
      </c>
      <c r="G69" s="177">
        <v>60.1</v>
      </c>
      <c r="H69" s="177" t="s">
        <v>87</v>
      </c>
      <c r="I69" s="396" t="str">
        <f>VLOOKUP(H69,Sheet4!A:B,2,)</f>
        <v>Gunmetal Machine Face</v>
      </c>
      <c r="J69" s="42">
        <f>4+4+4-4</f>
        <v>8</v>
      </c>
    </row>
    <row r="70" s="6" customFormat="1" ht="59" customHeight="1" spans="1:10">
      <c r="A70" s="84"/>
      <c r="B70" s="155" t="s">
        <v>124</v>
      </c>
      <c r="C70" s="182" t="s">
        <v>119</v>
      </c>
      <c r="D70" s="189" t="s">
        <v>29</v>
      </c>
      <c r="E70" s="182" t="s">
        <v>13</v>
      </c>
      <c r="F70" s="306">
        <v>38</v>
      </c>
      <c r="G70" s="306">
        <v>60.1</v>
      </c>
      <c r="H70" s="306" t="s">
        <v>87</v>
      </c>
      <c r="I70" s="395" t="str">
        <f>VLOOKUP(H70,Sheet4!A:B,2,)</f>
        <v>Gunmetal Machine Face</v>
      </c>
      <c r="J70" s="43">
        <v>0</v>
      </c>
    </row>
    <row r="71" s="6" customFormat="1" ht="31" customHeight="1" spans="1:10">
      <c r="A71" s="82"/>
      <c r="B71" s="134" t="s">
        <v>125</v>
      </c>
      <c r="C71" s="42" t="s">
        <v>119</v>
      </c>
      <c r="D71" s="42" t="s">
        <v>44</v>
      </c>
      <c r="E71" s="42" t="s">
        <v>13</v>
      </c>
      <c r="F71" s="42">
        <v>35</v>
      </c>
      <c r="G71" s="21">
        <v>60.1</v>
      </c>
      <c r="H71" s="42" t="s">
        <v>14</v>
      </c>
      <c r="I71" s="172" t="str">
        <f>VLOOKUP(H71,Sheet4!A:B,2,)</f>
        <v>Black Electroplate</v>
      </c>
      <c r="J71" s="21">
        <f>12-4-4-4+4-4+4+4-4-4+20</f>
        <v>20</v>
      </c>
    </row>
    <row r="72" s="6" customFormat="1" ht="31" customHeight="1" spans="1:10">
      <c r="A72" s="82"/>
      <c r="B72" s="134" t="s">
        <v>126</v>
      </c>
      <c r="C72" s="42" t="s">
        <v>119</v>
      </c>
      <c r="D72" s="42" t="s">
        <v>29</v>
      </c>
      <c r="E72" s="21" t="s">
        <v>13</v>
      </c>
      <c r="F72" s="166">
        <v>38</v>
      </c>
      <c r="G72" s="21">
        <v>60.1</v>
      </c>
      <c r="H72" s="42" t="s">
        <v>14</v>
      </c>
      <c r="I72" s="172" t="str">
        <f>VLOOKUP(H72,Sheet4!A:B,2,)</f>
        <v>Black Electroplate</v>
      </c>
      <c r="J72" s="42">
        <f>12+8-4-4-4-4-4+4+8+12-4-4</f>
        <v>16</v>
      </c>
    </row>
    <row r="73" s="6" customFormat="1" ht="31" customHeight="1" spans="1:10">
      <c r="A73" s="82"/>
      <c r="B73" s="134" t="s">
        <v>127</v>
      </c>
      <c r="C73" s="42" t="s">
        <v>115</v>
      </c>
      <c r="D73" s="42" t="s">
        <v>128</v>
      </c>
      <c r="E73" s="21" t="s">
        <v>40</v>
      </c>
      <c r="F73" s="166">
        <v>35</v>
      </c>
      <c r="G73" s="21">
        <v>60.1</v>
      </c>
      <c r="H73" s="42" t="s">
        <v>14</v>
      </c>
      <c r="I73" s="172" t="s">
        <v>48</v>
      </c>
      <c r="J73" s="42">
        <f>4-4</f>
        <v>0</v>
      </c>
    </row>
    <row r="74" s="6" customFormat="1" ht="31" customHeight="1" spans="1:10">
      <c r="A74" s="82"/>
      <c r="B74" s="134" t="s">
        <v>129</v>
      </c>
      <c r="C74" s="179" t="s">
        <v>115</v>
      </c>
      <c r="D74" s="177" t="s">
        <v>12</v>
      </c>
      <c r="E74" s="177" t="s">
        <v>40</v>
      </c>
      <c r="F74" s="383">
        <v>35</v>
      </c>
      <c r="G74" s="177">
        <v>60.1</v>
      </c>
      <c r="H74" s="179" t="s">
        <v>14</v>
      </c>
      <c r="I74" s="181" t="str">
        <f>VLOOKUP(H74,Sheet4!A:B,2,)</f>
        <v>Black Electroplate</v>
      </c>
      <c r="J74" s="42">
        <f>8-4</f>
        <v>4</v>
      </c>
    </row>
    <row r="75" s="6" customFormat="1" ht="31" customHeight="1" spans="1:10">
      <c r="A75" s="82" t="s">
        <v>130</v>
      </c>
      <c r="B75" s="134" t="s">
        <v>131</v>
      </c>
      <c r="C75" s="179" t="s">
        <v>115</v>
      </c>
      <c r="D75" s="42" t="s">
        <v>23</v>
      </c>
      <c r="E75" s="42" t="s">
        <v>40</v>
      </c>
      <c r="F75" s="42">
        <v>35</v>
      </c>
      <c r="G75" s="42">
        <v>60.1</v>
      </c>
      <c r="H75" s="42" t="s">
        <v>14</v>
      </c>
      <c r="I75" s="172" t="str">
        <f>VLOOKUP(H75,Sheet4!A:B,2,)</f>
        <v>Black Electroplate</v>
      </c>
      <c r="J75" s="42">
        <f>20+1-4-4-4-4-4+12+20-4-4-4-4-4+4+12-4-4-4-4-4-4-4+8-4-4+4+12-4-4+20-4-4-4-4-4-4+20-4-4+4-4-4-4-4-1+4-4-4+20-4+16-4-4-4-4-4-4-4+8-1-4+1-4-4+8-8+4-4+4-4+4-4+12+8-4-4-4-1+20-4-4-1-4-4-2</f>
        <v>8</v>
      </c>
    </row>
    <row r="76" ht="31" customHeight="1" spans="1:10">
      <c r="A76" s="82"/>
      <c r="B76" s="134" t="s">
        <v>132</v>
      </c>
      <c r="C76" s="179" t="s">
        <v>115</v>
      </c>
      <c r="D76" s="177" t="s">
        <v>23</v>
      </c>
      <c r="E76" s="177" t="s">
        <v>40</v>
      </c>
      <c r="F76" s="177">
        <v>35</v>
      </c>
      <c r="G76" s="177">
        <v>60.1</v>
      </c>
      <c r="H76" s="179" t="s">
        <v>21</v>
      </c>
      <c r="I76" s="181" t="str">
        <f>VLOOKUP(H76,Sheet4!A:B,2,)</f>
        <v>Black Machine Face</v>
      </c>
      <c r="J76" s="42">
        <f>24-4-4-4-4-4</f>
        <v>4</v>
      </c>
    </row>
    <row r="77" s="6" customFormat="1" ht="31" customHeight="1" spans="1:10">
      <c r="A77" s="82"/>
      <c r="B77" s="134" t="s">
        <v>133</v>
      </c>
      <c r="C77" s="179" t="s">
        <v>115</v>
      </c>
      <c r="D77" s="42" t="s">
        <v>29</v>
      </c>
      <c r="E77" s="42" t="s">
        <v>40</v>
      </c>
      <c r="F77" s="42">
        <v>35</v>
      </c>
      <c r="G77" s="42">
        <v>60.1</v>
      </c>
      <c r="H77" s="42" t="s">
        <v>14</v>
      </c>
      <c r="I77" s="172" t="str">
        <f>VLOOKUP(H77,Sheet4!A:B,2,)</f>
        <v>Black Electroplate</v>
      </c>
      <c r="J77" s="21">
        <f>4-4+40-4-4-4+4-4-1</f>
        <v>27</v>
      </c>
    </row>
    <row r="78" s="6" customFormat="1" ht="24" customHeight="1" spans="1:10">
      <c r="A78" s="56"/>
      <c r="B78" s="53" t="s">
        <v>134</v>
      </c>
      <c r="C78" s="388" t="s">
        <v>119</v>
      </c>
      <c r="D78" s="389" t="s">
        <v>44</v>
      </c>
      <c r="E78" s="389" t="s">
        <v>13</v>
      </c>
      <c r="F78" s="389">
        <v>35</v>
      </c>
      <c r="G78" s="389">
        <v>60.1</v>
      </c>
      <c r="H78" s="388" t="s">
        <v>14</v>
      </c>
      <c r="I78" s="390" t="str">
        <f>VLOOKUP(H78,Sheet4!A:B,2,)</f>
        <v>Black Electroplate</v>
      </c>
      <c r="J78" s="55">
        <f>8-4+4-4-4+12-4-4-4</f>
        <v>0</v>
      </c>
    </row>
    <row r="79" s="6" customFormat="1" ht="24" customHeight="1" spans="1:10">
      <c r="A79" s="18"/>
      <c r="B79" s="19" t="s">
        <v>135</v>
      </c>
      <c r="C79" s="179" t="s">
        <v>119</v>
      </c>
      <c r="D79" s="177" t="s">
        <v>29</v>
      </c>
      <c r="E79" s="177" t="s">
        <v>13</v>
      </c>
      <c r="F79" s="177">
        <v>38</v>
      </c>
      <c r="G79" s="177">
        <v>60.1</v>
      </c>
      <c r="H79" s="179" t="s">
        <v>14</v>
      </c>
      <c r="I79" s="181" t="str">
        <f>VLOOKUP(H79,Sheet4!A:B,2,)</f>
        <v>Black Electroplate</v>
      </c>
      <c r="J79" s="42">
        <f>8-4-1+4+8-4-8+1</f>
        <v>4</v>
      </c>
    </row>
    <row r="80" s="6" customFormat="1" ht="24" customHeight="1" spans="1:10">
      <c r="A80" s="18"/>
      <c r="B80" s="19" t="s">
        <v>136</v>
      </c>
      <c r="C80" s="179" t="s">
        <v>115</v>
      </c>
      <c r="D80" s="177" t="s">
        <v>12</v>
      </c>
      <c r="E80" s="177" t="s">
        <v>40</v>
      </c>
      <c r="F80" s="177">
        <v>35</v>
      </c>
      <c r="G80" s="177">
        <v>60.1</v>
      </c>
      <c r="H80" s="179" t="s">
        <v>14</v>
      </c>
      <c r="I80" s="181" t="str">
        <f>VLOOKUP(H80,Sheet4!A:B,2,)</f>
        <v>Black Electroplate</v>
      </c>
      <c r="J80" s="42">
        <f>20-4-4-4-4-4+4-4+4-4+8-4-4+4-4+8-8+4-4+4-4+4+8-4-4-4+20-4-4+4</f>
        <v>16</v>
      </c>
    </row>
    <row r="81" s="6" customFormat="1" ht="24" customHeight="1" spans="1:10">
      <c r="A81" s="18"/>
      <c r="B81" s="19" t="s">
        <v>137</v>
      </c>
      <c r="C81" s="42" t="s">
        <v>115</v>
      </c>
      <c r="D81" s="42" t="s">
        <v>23</v>
      </c>
      <c r="E81" s="42" t="s">
        <v>40</v>
      </c>
      <c r="F81" s="42">
        <v>35</v>
      </c>
      <c r="G81" s="42">
        <v>60.1</v>
      </c>
      <c r="H81" s="42" t="s">
        <v>14</v>
      </c>
      <c r="I81" s="172" t="str">
        <f>VLOOKUP(H81,Sheet4!A:B,2,)</f>
        <v>Black Electroplate</v>
      </c>
      <c r="J81" s="42">
        <f>24-4-4-4-4-4-4+20-4-4+4-4-4-4-4+8-4+8+12-4+4</f>
        <v>24</v>
      </c>
    </row>
    <row r="82" s="6" customFormat="1" ht="24" customHeight="1" spans="1:10">
      <c r="A82" s="22"/>
      <c r="B82" s="155" t="s">
        <v>138</v>
      </c>
      <c r="C82" s="182" t="s">
        <v>115</v>
      </c>
      <c r="D82" s="306" t="s">
        <v>29</v>
      </c>
      <c r="E82" s="306" t="s">
        <v>40</v>
      </c>
      <c r="F82" s="306">
        <v>35</v>
      </c>
      <c r="G82" s="306">
        <v>60.1</v>
      </c>
      <c r="H82" s="182" t="s">
        <v>14</v>
      </c>
      <c r="I82" s="184" t="str">
        <f>VLOOKUP(H82,Sheet4!A:B,2,)</f>
        <v>Black Electroplate</v>
      </c>
      <c r="J82" s="43">
        <f>8+1+3-4+12-4-4-4-4-4+4-4+12-4-4-4+8-4-4+4+1-1+12-4-4-4-4+4-4+8+12-4-4+4-1</f>
        <v>15</v>
      </c>
    </row>
    <row r="83" ht="43" customHeight="1" spans="1:10">
      <c r="A83" s="82"/>
      <c r="B83" s="19" t="s">
        <v>139</v>
      </c>
      <c r="C83" s="42" t="s">
        <v>115</v>
      </c>
      <c r="D83" s="42" t="s">
        <v>12</v>
      </c>
      <c r="E83" s="42" t="s">
        <v>40</v>
      </c>
      <c r="F83" s="42">
        <v>35</v>
      </c>
      <c r="G83" s="42">
        <v>60.1</v>
      </c>
      <c r="H83" s="42" t="s">
        <v>14</v>
      </c>
      <c r="I83" s="172" t="str">
        <f>VLOOKUP(H83,Sheet4!A:B,2,)</f>
        <v>Black Electroplate</v>
      </c>
      <c r="J83" s="42">
        <f>4-4+4+8-4-4-4+12+4-8-8</f>
        <v>0</v>
      </c>
    </row>
    <row r="84" ht="38" customHeight="1" spans="1:10">
      <c r="A84" s="82"/>
      <c r="B84" s="19" t="s">
        <v>140</v>
      </c>
      <c r="C84" s="42" t="s">
        <v>115</v>
      </c>
      <c r="D84" s="42" t="s">
        <v>23</v>
      </c>
      <c r="E84" s="42" t="s">
        <v>40</v>
      </c>
      <c r="F84" s="42">
        <v>35</v>
      </c>
      <c r="G84" s="42">
        <v>60.1</v>
      </c>
      <c r="H84" s="42" t="s">
        <v>14</v>
      </c>
      <c r="I84" s="172" t="str">
        <f>VLOOKUP(H84,Sheet4!A:B,2,)</f>
        <v>Black Electroplate</v>
      </c>
      <c r="J84" s="42">
        <f>8+8-8-4-4+4-4+4-4+8+4-4</f>
        <v>8</v>
      </c>
    </row>
    <row r="85" ht="43" customHeight="1" spans="1:10">
      <c r="A85" s="84"/>
      <c r="B85" s="155" t="s">
        <v>141</v>
      </c>
      <c r="C85" s="182" t="s">
        <v>115</v>
      </c>
      <c r="D85" s="306" t="s">
        <v>29</v>
      </c>
      <c r="E85" s="306" t="s">
        <v>40</v>
      </c>
      <c r="F85" s="306">
        <v>35</v>
      </c>
      <c r="G85" s="306">
        <v>60.1</v>
      </c>
      <c r="H85" s="182" t="s">
        <v>14</v>
      </c>
      <c r="I85" s="184" t="str">
        <f>VLOOKUP(H85,Sheet4!A:B,2,)</f>
        <v>Black Electroplate</v>
      </c>
      <c r="J85" s="43">
        <f>16-4-4-4-4+12-4+4-4-4-4</f>
        <v>0</v>
      </c>
    </row>
    <row r="86" ht="30" customHeight="1" spans="1:10">
      <c r="A86" s="82"/>
      <c r="B86" s="19" t="s">
        <v>142</v>
      </c>
      <c r="C86" s="42" t="s">
        <v>115</v>
      </c>
      <c r="D86" s="42" t="s">
        <v>128</v>
      </c>
      <c r="E86" s="42" t="s">
        <v>40</v>
      </c>
      <c r="F86" s="42">
        <v>35</v>
      </c>
      <c r="G86" s="42">
        <v>60.1</v>
      </c>
      <c r="H86" s="42" t="s">
        <v>14</v>
      </c>
      <c r="I86" s="172" t="str">
        <f>VLOOKUP(H86,Sheet4!A:B,2,)</f>
        <v>Black Electroplate</v>
      </c>
      <c r="J86" s="42">
        <f>4-4+4+8-4+12-4-4-4-4-4+4-4+4</f>
        <v>4</v>
      </c>
    </row>
    <row r="87" ht="30" customHeight="1" spans="1:10">
      <c r="A87" s="82"/>
      <c r="B87" s="19" t="s">
        <v>143</v>
      </c>
      <c r="C87" s="42" t="s">
        <v>115</v>
      </c>
      <c r="D87" s="42" t="s">
        <v>12</v>
      </c>
      <c r="E87" s="42" t="s">
        <v>40</v>
      </c>
      <c r="F87" s="42">
        <v>35</v>
      </c>
      <c r="G87" s="42">
        <v>60.1</v>
      </c>
      <c r="H87" s="42" t="s">
        <v>14</v>
      </c>
      <c r="I87" s="172" t="str">
        <f>VLOOKUP(H87,Sheet4!A:B,2,)</f>
        <v>Black Electroplate</v>
      </c>
      <c r="J87" s="42">
        <f>12-4-4-4+8+12-4+8-4-4-4-4-4-4+12-4-4+4-4+4-4+4-4-4+20-4-4</f>
        <v>12</v>
      </c>
    </row>
    <row r="88" ht="30" customHeight="1" spans="1:10">
      <c r="A88" s="82"/>
      <c r="B88" s="19" t="s">
        <v>144</v>
      </c>
      <c r="C88" s="42" t="s">
        <v>115</v>
      </c>
      <c r="D88" s="42" t="s">
        <v>23</v>
      </c>
      <c r="E88" s="42" t="s">
        <v>40</v>
      </c>
      <c r="F88" s="42">
        <v>35</v>
      </c>
      <c r="G88" s="42">
        <v>60.1</v>
      </c>
      <c r="H88" s="42" t="s">
        <v>14</v>
      </c>
      <c r="I88" s="172" t="str">
        <f>VLOOKUP(H88,Sheet4!A:B,2,)</f>
        <v>Black Electroplate</v>
      </c>
      <c r="J88" s="42">
        <f>8+12+1-4-4-4-4+8-4-4+4+4-4-4-4+4+4+4-4+4-4</f>
        <v>9</v>
      </c>
    </row>
    <row r="89" ht="30" customHeight="1" spans="1:10">
      <c r="A89" s="82"/>
      <c r="B89" s="134" t="s">
        <v>145</v>
      </c>
      <c r="C89" s="179" t="s">
        <v>115</v>
      </c>
      <c r="D89" s="177" t="s">
        <v>29</v>
      </c>
      <c r="E89" s="177" t="s">
        <v>40</v>
      </c>
      <c r="F89" s="177">
        <v>35</v>
      </c>
      <c r="G89" s="177">
        <v>60.1</v>
      </c>
      <c r="H89" s="179" t="s">
        <v>14</v>
      </c>
      <c r="I89" s="181" t="str">
        <f>VLOOKUP(H89,Sheet4!A:B,2,)</f>
        <v>Black Electroplate</v>
      </c>
      <c r="J89" s="42">
        <f>8-4+8-4+12-4-4-4-1+1-4-4+8-4-4+8-4-4+8-4-2+2-4+4+8-4</f>
        <v>8</v>
      </c>
    </row>
    <row r="90" s="261" customFormat="1" ht="26" customHeight="1" spans="1:10">
      <c r="A90" s="124"/>
      <c r="B90" s="318" t="s">
        <v>146</v>
      </c>
      <c r="C90" s="397" t="s">
        <v>115</v>
      </c>
      <c r="D90" s="398" t="s">
        <v>29</v>
      </c>
      <c r="E90" s="398" t="s">
        <v>13</v>
      </c>
      <c r="F90" s="398">
        <v>38</v>
      </c>
      <c r="G90" s="398">
        <v>60.1</v>
      </c>
      <c r="H90" s="397" t="s">
        <v>14</v>
      </c>
      <c r="I90" s="399" t="s">
        <v>48</v>
      </c>
      <c r="J90" s="51">
        <v>4</v>
      </c>
    </row>
    <row r="91" s="6" customFormat="1" ht="42" customHeight="1" spans="1:10">
      <c r="A91" s="82"/>
      <c r="B91" s="19" t="s">
        <v>147</v>
      </c>
      <c r="C91" s="42" t="s">
        <v>148</v>
      </c>
      <c r="D91" s="42" t="s">
        <v>12</v>
      </c>
      <c r="E91" s="42" t="s">
        <v>40</v>
      </c>
      <c r="F91" s="42">
        <v>35</v>
      </c>
      <c r="G91" s="42">
        <v>60.1</v>
      </c>
      <c r="H91" s="42" t="s">
        <v>14</v>
      </c>
      <c r="I91" s="172" t="str">
        <f>VLOOKUP(H91,Sheet4!A:B,2,)</f>
        <v>Black Electroplate</v>
      </c>
      <c r="J91" s="42">
        <f>8+4-4-4-4+4-4+8-4-4</f>
        <v>0</v>
      </c>
    </row>
    <row r="92" s="378" customFormat="1" ht="42" customHeight="1" spans="1:10">
      <c r="A92" s="400"/>
      <c r="B92" s="19" t="s">
        <v>149</v>
      </c>
      <c r="C92" s="42" t="s">
        <v>148</v>
      </c>
      <c r="D92" s="42" t="s">
        <v>23</v>
      </c>
      <c r="E92" s="42" t="s">
        <v>40</v>
      </c>
      <c r="F92" s="42">
        <v>35</v>
      </c>
      <c r="G92" s="42">
        <v>60.1</v>
      </c>
      <c r="H92" s="42" t="s">
        <v>14</v>
      </c>
      <c r="I92" s="172" t="str">
        <f>VLOOKUP(H92,Sheet4!A:B,2,)</f>
        <v>Black Electroplate</v>
      </c>
      <c r="J92" s="42">
        <f>4-4+4-4+4-4+4-4+12</f>
        <v>12</v>
      </c>
    </row>
    <row r="93" s="378" customFormat="1" ht="42" customHeight="1" spans="1:10">
      <c r="A93" s="84"/>
      <c r="B93" s="155" t="s">
        <v>150</v>
      </c>
      <c r="C93" s="182" t="s">
        <v>148</v>
      </c>
      <c r="D93" s="306" t="s">
        <v>29</v>
      </c>
      <c r="E93" s="306" t="s">
        <v>40</v>
      </c>
      <c r="F93" s="306">
        <v>35</v>
      </c>
      <c r="G93" s="306">
        <v>60.1</v>
      </c>
      <c r="H93" s="401" t="s">
        <v>151</v>
      </c>
      <c r="I93" s="184" t="str">
        <f>VLOOKUP(H93,Sheet4!A:B,2,)</f>
        <v>white electroplating</v>
      </c>
      <c r="J93" s="43">
        <f>8-4-4+4+4-4+4-4-4+4+8-4</f>
        <v>8</v>
      </c>
    </row>
    <row r="94" s="6" customFormat="1" ht="38" customHeight="1" spans="1:10">
      <c r="A94" s="82"/>
      <c r="B94" s="19" t="s">
        <v>152</v>
      </c>
      <c r="C94" s="42" t="s">
        <v>153</v>
      </c>
      <c r="D94" s="42" t="s">
        <v>12</v>
      </c>
      <c r="E94" s="42" t="s">
        <v>40</v>
      </c>
      <c r="F94" s="42">
        <v>35</v>
      </c>
      <c r="G94" s="42">
        <v>60.1</v>
      </c>
      <c r="H94" s="42" t="s">
        <v>14</v>
      </c>
      <c r="I94" s="172" t="str">
        <f>VLOOKUP(H94,Sheet4!A:B,2,)</f>
        <v>Black Electroplate</v>
      </c>
      <c r="J94" s="42">
        <f>8-4-4</f>
        <v>0</v>
      </c>
    </row>
    <row r="95" s="378" customFormat="1" ht="38" customHeight="1" spans="1:10">
      <c r="A95" s="400"/>
      <c r="B95" s="19" t="s">
        <v>154</v>
      </c>
      <c r="C95" s="42" t="s">
        <v>153</v>
      </c>
      <c r="D95" s="42" t="s">
        <v>23</v>
      </c>
      <c r="E95" s="42" t="s">
        <v>40</v>
      </c>
      <c r="F95" s="42" t="s">
        <v>155</v>
      </c>
      <c r="G95" s="42">
        <v>60.1</v>
      </c>
      <c r="H95" s="42" t="s">
        <v>14</v>
      </c>
      <c r="I95" s="172" t="str">
        <f>VLOOKUP(H95,Sheet4!A:B,2,)</f>
        <v>Black Electroplate</v>
      </c>
      <c r="J95" s="42">
        <v>0</v>
      </c>
    </row>
    <row r="96" s="6" customFormat="1" ht="38" customHeight="1" spans="1:10">
      <c r="A96" s="82"/>
      <c r="B96" s="134" t="s">
        <v>152</v>
      </c>
      <c r="C96" s="182" t="s">
        <v>153</v>
      </c>
      <c r="D96" s="306" t="s">
        <v>29</v>
      </c>
      <c r="E96" s="306" t="s">
        <v>40</v>
      </c>
      <c r="F96" s="306">
        <v>35</v>
      </c>
      <c r="G96" s="306">
        <v>61.1</v>
      </c>
      <c r="H96" s="182" t="s">
        <v>156</v>
      </c>
      <c r="I96" s="184" t="str">
        <f>VLOOKUP(H96,Sheet4!A:B,2,)</f>
        <v>white electroplating</v>
      </c>
      <c r="J96" s="43">
        <v>4</v>
      </c>
    </row>
    <row r="97" s="8" customFormat="1" ht="56" customHeight="1" spans="1:10">
      <c r="A97" s="52"/>
      <c r="B97" s="53" t="s">
        <v>157</v>
      </c>
      <c r="C97" s="55" t="s">
        <v>158</v>
      </c>
      <c r="D97" s="55" t="s">
        <v>23</v>
      </c>
      <c r="E97" s="55" t="s">
        <v>40</v>
      </c>
      <c r="F97" s="55">
        <v>35</v>
      </c>
      <c r="G97" s="55">
        <v>60.1</v>
      </c>
      <c r="H97" s="55" t="s">
        <v>159</v>
      </c>
      <c r="I97" s="176" t="str">
        <f>VLOOKUP(H97,Sheet4!A:B,2,)</f>
        <v>MATTE BLACK</v>
      </c>
      <c r="J97" s="55">
        <f>4</f>
        <v>4</v>
      </c>
    </row>
    <row r="98" s="8" customFormat="1" ht="63" customHeight="1" spans="1:10">
      <c r="A98" s="46"/>
      <c r="B98" s="155" t="s">
        <v>160</v>
      </c>
      <c r="C98" s="182" t="s">
        <v>158</v>
      </c>
      <c r="D98" s="306" t="s">
        <v>29</v>
      </c>
      <c r="E98" s="306" t="s">
        <v>40</v>
      </c>
      <c r="F98" s="306">
        <v>35</v>
      </c>
      <c r="G98" s="306">
        <v>60.1</v>
      </c>
      <c r="H98" s="182" t="s">
        <v>159</v>
      </c>
      <c r="I98" s="184" t="str">
        <f>VLOOKUP(H98,Sheet4!A:B,2,)</f>
        <v>MATTE BLACK</v>
      </c>
      <c r="J98" s="402">
        <f>4-4</f>
        <v>0</v>
      </c>
    </row>
    <row r="99" s="8" customFormat="1" ht="59" customHeight="1" spans="1:10">
      <c r="A99" s="52"/>
      <c r="B99" s="19" t="s">
        <v>161</v>
      </c>
      <c r="C99" s="179" t="s">
        <v>162</v>
      </c>
      <c r="D99" s="177" t="s">
        <v>163</v>
      </c>
      <c r="E99" s="177" t="s">
        <v>164</v>
      </c>
      <c r="F99" s="177">
        <v>34</v>
      </c>
      <c r="G99" s="177">
        <v>75.1</v>
      </c>
      <c r="H99" s="179" t="s">
        <v>14</v>
      </c>
      <c r="I99" s="181" t="str">
        <f>VLOOKUP(H99,Sheet4!A:B,2,)</f>
        <v>Black Electroplate</v>
      </c>
      <c r="J99" s="42">
        <f>8-4-4+4+4-4-4</f>
        <v>0</v>
      </c>
    </row>
    <row r="100" s="8" customFormat="1" ht="63" customHeight="1" spans="1:10">
      <c r="A100" s="46"/>
      <c r="B100" s="23" t="s">
        <v>165</v>
      </c>
      <c r="C100" s="182" t="s">
        <v>162</v>
      </c>
      <c r="D100" s="306" t="s">
        <v>12</v>
      </c>
      <c r="E100" s="306" t="s">
        <v>164</v>
      </c>
      <c r="F100" s="306">
        <v>45</v>
      </c>
      <c r="G100" s="306">
        <v>75.1</v>
      </c>
      <c r="H100" s="182" t="s">
        <v>14</v>
      </c>
      <c r="I100" s="184" t="str">
        <f>VLOOKUP(H100,Sheet4!A:B,2,)</f>
        <v>Black Electroplate</v>
      </c>
      <c r="J100" s="43">
        <f>8-4-4+12-4-4-4+4-4+12-4-4-4</f>
        <v>0</v>
      </c>
    </row>
    <row r="101" ht="60" customHeight="1" spans="1:10">
      <c r="A101" s="82"/>
      <c r="B101" s="19" t="s">
        <v>166</v>
      </c>
      <c r="C101" s="42" t="s">
        <v>162</v>
      </c>
      <c r="D101" s="42" t="s">
        <v>163</v>
      </c>
      <c r="E101" s="42" t="s">
        <v>164</v>
      </c>
      <c r="F101" s="42">
        <v>25</v>
      </c>
      <c r="G101" s="42">
        <v>75.1</v>
      </c>
      <c r="H101" s="42" t="s">
        <v>21</v>
      </c>
      <c r="I101" s="172" t="str">
        <f>VLOOKUP(H101,Sheet4!A:B,2,)</f>
        <v>Black Machine Face</v>
      </c>
      <c r="J101" s="42">
        <f>4-4+4-4+4-4+12-4-4-4+4-4+4-4+4-4+4</f>
        <v>4</v>
      </c>
    </row>
    <row r="102" s="6" customFormat="1" ht="60" customHeight="1" spans="1:10">
      <c r="A102" s="84"/>
      <c r="B102" s="155" t="s">
        <v>167</v>
      </c>
      <c r="C102" s="182" t="s">
        <v>162</v>
      </c>
      <c r="D102" s="306" t="s">
        <v>12</v>
      </c>
      <c r="E102" s="306" t="s">
        <v>164</v>
      </c>
      <c r="F102" s="306">
        <v>45</v>
      </c>
      <c r="G102" s="306">
        <v>75.1</v>
      </c>
      <c r="H102" s="182" t="s">
        <v>21</v>
      </c>
      <c r="I102" s="184" t="str">
        <f>VLOOKUP(H102,Sheet4!A:B,2,)</f>
        <v>Black Machine Face</v>
      </c>
      <c r="J102" s="43">
        <f>3+8-4-4+4-4+1+4-4+5-4-4</f>
        <v>1</v>
      </c>
    </row>
    <row r="103" s="6" customFormat="1" ht="55" customHeight="1" spans="1:10">
      <c r="A103" s="82"/>
      <c r="B103" s="134" t="s">
        <v>168</v>
      </c>
      <c r="C103" s="179" t="s">
        <v>162</v>
      </c>
      <c r="D103" s="177" t="s">
        <v>163</v>
      </c>
      <c r="E103" s="177" t="s">
        <v>164</v>
      </c>
      <c r="F103" s="177">
        <v>34</v>
      </c>
      <c r="G103" s="177">
        <v>75.1</v>
      </c>
      <c r="H103" s="179" t="s">
        <v>14</v>
      </c>
      <c r="I103" s="181" t="str">
        <f>VLOOKUP(H103,Sheet4!A:B,2,)</f>
        <v>Black Electroplate</v>
      </c>
      <c r="J103" s="42">
        <f>4-4+8-4+12-4-4-8+4-4+8-4+4-4-4+4-4</f>
        <v>0</v>
      </c>
    </row>
    <row r="104" s="6" customFormat="1" ht="55" customHeight="1" spans="1:10">
      <c r="A104" s="84"/>
      <c r="B104" s="155" t="s">
        <v>169</v>
      </c>
      <c r="C104" s="182" t="s">
        <v>162</v>
      </c>
      <c r="D104" s="306" t="s">
        <v>12</v>
      </c>
      <c r="E104" s="306" t="s">
        <v>164</v>
      </c>
      <c r="F104" s="306">
        <v>45</v>
      </c>
      <c r="G104" s="306">
        <v>75.1</v>
      </c>
      <c r="H104" s="182" t="s">
        <v>14</v>
      </c>
      <c r="I104" s="184" t="str">
        <f>VLOOKUP(H104,Sheet4!A:B,2,)</f>
        <v>Black Electroplate</v>
      </c>
      <c r="J104" s="43">
        <f>4-4+4-4+8-4-4+4-4+4-4+4+16-4-4-4-8</f>
        <v>0</v>
      </c>
    </row>
    <row r="105" s="6" customFormat="1" ht="60" customHeight="1" spans="1:10">
      <c r="A105" s="82"/>
      <c r="B105" s="19" t="s">
        <v>170</v>
      </c>
      <c r="C105" s="42" t="s">
        <v>162</v>
      </c>
      <c r="D105" s="42" t="s">
        <v>163</v>
      </c>
      <c r="E105" s="42" t="s">
        <v>164</v>
      </c>
      <c r="F105" s="42">
        <v>34</v>
      </c>
      <c r="G105" s="42">
        <v>75.1</v>
      </c>
      <c r="H105" s="42" t="s">
        <v>21</v>
      </c>
      <c r="I105" s="172" t="str">
        <f>VLOOKUP(H105,Sheet4!A:B,2,)</f>
        <v>Black Machine Face</v>
      </c>
      <c r="J105" s="42">
        <f>12-4-4+4-4-4</f>
        <v>0</v>
      </c>
    </row>
    <row r="106" s="6" customFormat="1" ht="60" customHeight="1" spans="1:10">
      <c r="A106" s="84"/>
      <c r="B106" s="155" t="s">
        <v>171</v>
      </c>
      <c r="C106" s="182" t="s">
        <v>162</v>
      </c>
      <c r="D106" s="306" t="s">
        <v>12</v>
      </c>
      <c r="E106" s="306" t="s">
        <v>164</v>
      </c>
      <c r="F106" s="306">
        <v>45</v>
      </c>
      <c r="G106" s="306">
        <v>75.1</v>
      </c>
      <c r="H106" s="182" t="s">
        <v>21</v>
      </c>
      <c r="I106" s="184" t="str">
        <f>VLOOKUP(H106,Sheet4!A:B,2,)</f>
        <v>Black Machine Face</v>
      </c>
      <c r="J106" s="43">
        <f>8-4-4+4-4+5-4</f>
        <v>1</v>
      </c>
    </row>
    <row r="107" ht="59" customHeight="1" spans="1:10">
      <c r="A107" s="44"/>
      <c r="B107" s="134" t="s">
        <v>172</v>
      </c>
      <c r="C107" s="179" t="s">
        <v>173</v>
      </c>
      <c r="D107" s="177" t="s">
        <v>29</v>
      </c>
      <c r="E107" s="177" t="s">
        <v>52</v>
      </c>
      <c r="F107" s="177">
        <v>25</v>
      </c>
      <c r="G107" s="177">
        <v>77.8</v>
      </c>
      <c r="H107" s="179" t="s">
        <v>36</v>
      </c>
      <c r="I107" s="181" t="str">
        <f>VLOOKUP(H107,Sheet4!A:B,2,)</f>
        <v>Black Machine Face</v>
      </c>
      <c r="J107" s="42">
        <f>4-4+8-4+4-4-4+4-4+8-4</f>
        <v>4</v>
      </c>
    </row>
    <row r="108" ht="59" customHeight="1" spans="1:10">
      <c r="A108" s="84"/>
      <c r="B108" s="155" t="s">
        <v>174</v>
      </c>
      <c r="C108" s="182" t="s">
        <v>173</v>
      </c>
      <c r="D108" s="306" t="s">
        <v>56</v>
      </c>
      <c r="E108" s="306" t="s">
        <v>52</v>
      </c>
      <c r="F108" s="306">
        <v>25</v>
      </c>
      <c r="G108" s="306">
        <v>77.8</v>
      </c>
      <c r="H108" s="182" t="s">
        <v>21</v>
      </c>
      <c r="I108" s="184" t="str">
        <f>VLOOKUP(H108,Sheet4!A:B,2,)</f>
        <v>Black Machine Face</v>
      </c>
      <c r="J108" s="43">
        <f>4-4+4-4+4-4+8-4-4+4-4+4+4-4-4</f>
        <v>0</v>
      </c>
    </row>
    <row r="109" s="6" customFormat="1" ht="111" customHeight="1" spans="1:10">
      <c r="A109" s="84"/>
      <c r="B109" s="155" t="s">
        <v>175</v>
      </c>
      <c r="C109" s="182" t="s">
        <v>173</v>
      </c>
      <c r="D109" s="306" t="s">
        <v>29</v>
      </c>
      <c r="E109" s="306" t="s">
        <v>52</v>
      </c>
      <c r="F109" s="306">
        <v>25</v>
      </c>
      <c r="G109" s="306">
        <v>77.8</v>
      </c>
      <c r="H109" s="182" t="s">
        <v>21</v>
      </c>
      <c r="I109" s="184" t="str">
        <f>VLOOKUP(H109,Sheet4!A:B,2,)</f>
        <v>Black Machine Face</v>
      </c>
      <c r="J109" s="43">
        <f>8-4-4+4-4</f>
        <v>0</v>
      </c>
    </row>
    <row r="110" s="6" customFormat="1" ht="57" customHeight="1" spans="1:10">
      <c r="A110" s="82"/>
      <c r="B110" s="19" t="s">
        <v>176</v>
      </c>
      <c r="C110" s="42" t="s">
        <v>173</v>
      </c>
      <c r="D110" s="42" t="s">
        <v>29</v>
      </c>
      <c r="E110" s="42" t="s">
        <v>52</v>
      </c>
      <c r="F110" s="42">
        <v>25</v>
      </c>
      <c r="G110" s="42">
        <v>77.8</v>
      </c>
      <c r="H110" s="42" t="s">
        <v>21</v>
      </c>
      <c r="I110" s="172" t="str">
        <f>VLOOKUP(H110,Sheet4!A:B,2,)</f>
        <v>Black Machine Face</v>
      </c>
      <c r="J110" s="42">
        <f>16-5-4-4+1-4+4-4+8-4-4+8-4-4</f>
        <v>0</v>
      </c>
    </row>
    <row r="111" s="6" customFormat="1" ht="57" customHeight="1" spans="1:10">
      <c r="A111" s="84"/>
      <c r="B111" s="155" t="s">
        <v>177</v>
      </c>
      <c r="C111" s="182" t="s">
        <v>173</v>
      </c>
      <c r="D111" s="306" t="s">
        <v>178</v>
      </c>
      <c r="E111" s="306" t="s">
        <v>52</v>
      </c>
      <c r="F111" s="306">
        <v>25</v>
      </c>
      <c r="G111" s="306">
        <v>77.8</v>
      </c>
      <c r="H111" s="182" t="s">
        <v>21</v>
      </c>
      <c r="I111" s="184" t="str">
        <f>VLOOKUP(H111,Sheet4!A:B,2,)</f>
        <v>Black Machine Face</v>
      </c>
      <c r="J111" s="43">
        <f>4-4+4+4-4</f>
        <v>4</v>
      </c>
    </row>
    <row r="112" s="6" customFormat="1" ht="57" customHeight="1" spans="1:10">
      <c r="A112" s="18"/>
      <c r="B112" s="19" t="s">
        <v>179</v>
      </c>
      <c r="C112" s="42" t="s">
        <v>173</v>
      </c>
      <c r="D112" s="42" t="s">
        <v>29</v>
      </c>
      <c r="E112" s="42" t="s">
        <v>52</v>
      </c>
      <c r="F112" s="42">
        <v>25</v>
      </c>
      <c r="G112" s="42">
        <v>77.8</v>
      </c>
      <c r="H112" s="42" t="s">
        <v>21</v>
      </c>
      <c r="I112" s="403" t="str">
        <f>VLOOKUP(H112,Sheet4!A:B,2,)</f>
        <v>Black Machine Face</v>
      </c>
      <c r="J112" s="42">
        <f>4+3-4+4-4+1+4-4-4</f>
        <v>0</v>
      </c>
    </row>
    <row r="113" s="6" customFormat="1" ht="57" customHeight="1" spans="1:10">
      <c r="A113" s="84"/>
      <c r="B113" s="134" t="s">
        <v>180</v>
      </c>
      <c r="C113" s="179" t="s">
        <v>173</v>
      </c>
      <c r="D113" s="177" t="s">
        <v>56</v>
      </c>
      <c r="E113" s="177" t="s">
        <v>52</v>
      </c>
      <c r="F113" s="177">
        <v>25</v>
      </c>
      <c r="G113" s="177">
        <v>77.8</v>
      </c>
      <c r="H113" s="179" t="s">
        <v>21</v>
      </c>
      <c r="I113" s="181" t="str">
        <f>VLOOKUP(H113,Sheet4!A:B,2,)</f>
        <v>Black Machine Face</v>
      </c>
      <c r="J113" s="42">
        <f>8+4-4-4-4+4-4+4-4+4-4+4-4+4+4-4-4</f>
        <v>0</v>
      </c>
    </row>
    <row r="114" s="6" customFormat="1" ht="26" customHeight="1" spans="1:10">
      <c r="A114" s="404"/>
      <c r="B114" s="405" t="s">
        <v>181</v>
      </c>
      <c r="C114" s="406" t="s">
        <v>182</v>
      </c>
      <c r="D114" s="406" t="s">
        <v>12</v>
      </c>
      <c r="E114" s="406" t="s">
        <v>13</v>
      </c>
      <c r="F114" s="406">
        <v>35</v>
      </c>
      <c r="G114" s="407">
        <v>66.9</v>
      </c>
      <c r="H114" s="406" t="s">
        <v>14</v>
      </c>
      <c r="I114" s="408" t="str">
        <f>VLOOKUP(H114,Sheet4!A:B,2,)</f>
        <v>Black Electroplate</v>
      </c>
      <c r="J114" s="406">
        <f>12-4-4-4+12-4-4-4+4-4+8-4+4-4-4+4+16-4-4-4+4-4+4-4-1-4-3+4-4</f>
        <v>0</v>
      </c>
    </row>
    <row r="115" s="6" customFormat="1" ht="26" customHeight="1" spans="1:10">
      <c r="A115" s="334"/>
      <c r="B115" s="409" t="s">
        <v>183</v>
      </c>
      <c r="C115" s="410" t="s">
        <v>182</v>
      </c>
      <c r="D115" s="411" t="s">
        <v>44</v>
      </c>
      <c r="E115" s="411" t="s">
        <v>13</v>
      </c>
      <c r="F115" s="411">
        <v>35</v>
      </c>
      <c r="G115" s="411">
        <v>67.1</v>
      </c>
      <c r="H115" s="410" t="s">
        <v>14</v>
      </c>
      <c r="I115" s="412" t="str">
        <f>VLOOKUP(H115,Sheet4!A:B,2,)</f>
        <v>Black Electroplate</v>
      </c>
      <c r="J115" s="413">
        <f>8-4+1+3-4-4+4-4+12-4+4-4+4-4-4+4-4</f>
        <v>4</v>
      </c>
    </row>
    <row r="116" s="6" customFormat="1" ht="26" customHeight="1" spans="1:10">
      <c r="A116" s="334"/>
      <c r="B116" s="414" t="s">
        <v>184</v>
      </c>
      <c r="C116" s="413" t="s">
        <v>185</v>
      </c>
      <c r="D116" s="413" t="s">
        <v>186</v>
      </c>
      <c r="E116" s="413" t="s">
        <v>187</v>
      </c>
      <c r="F116" s="413">
        <v>38</v>
      </c>
      <c r="G116" s="413">
        <v>66.9</v>
      </c>
      <c r="H116" s="413" t="s">
        <v>14</v>
      </c>
      <c r="I116" s="415" t="str">
        <f>VLOOKUP(H116,Sheet4!A:B,2,)</f>
        <v>Black Electroplate</v>
      </c>
      <c r="J116" s="413">
        <f>8-4+8+8-4-4-4+12-1-1-4-2-1-4-4</f>
        <v>3</v>
      </c>
    </row>
    <row r="117" s="6" customFormat="1" ht="26" customHeight="1" spans="1:10">
      <c r="A117" s="334"/>
      <c r="B117" s="414" t="s">
        <v>188</v>
      </c>
      <c r="C117" s="413" t="s">
        <v>185</v>
      </c>
      <c r="D117" s="413" t="s">
        <v>44</v>
      </c>
      <c r="E117" s="413" t="s">
        <v>187</v>
      </c>
      <c r="F117" s="413">
        <v>40</v>
      </c>
      <c r="G117" s="416">
        <v>66.9</v>
      </c>
      <c r="H117" s="413" t="s">
        <v>14</v>
      </c>
      <c r="I117" s="415" t="str">
        <f>VLOOKUP(H117,Sheet4!A:B,2,)</f>
        <v>Black Electroplate</v>
      </c>
      <c r="J117" s="413">
        <f>4-4+4-4+4-4+4-4+8-4-4+4+3+1-4-4+4+8-4+8-4-4-1+1+16</f>
        <v>24</v>
      </c>
    </row>
    <row r="118" s="6" customFormat="1" ht="26" customHeight="1" spans="1:10">
      <c r="A118" s="417"/>
      <c r="B118" s="418" t="s">
        <v>189</v>
      </c>
      <c r="C118" s="419" t="s">
        <v>185</v>
      </c>
      <c r="D118" s="419" t="s">
        <v>190</v>
      </c>
      <c r="E118" s="419" t="s">
        <v>187</v>
      </c>
      <c r="F118" s="419">
        <v>40</v>
      </c>
      <c r="G118" s="420">
        <v>66.9</v>
      </c>
      <c r="H118" s="419" t="s">
        <v>14</v>
      </c>
      <c r="I118" s="421" t="str">
        <f>VLOOKUP(H118,Sheet4!A:B,2,)</f>
        <v>Black Electroplate</v>
      </c>
      <c r="J118" s="419">
        <f>8+4</f>
        <v>12</v>
      </c>
    </row>
    <row r="119" s="6" customFormat="1" ht="38" customHeight="1" spans="1:10">
      <c r="A119" s="44"/>
      <c r="B119" s="99" t="s">
        <v>191</v>
      </c>
      <c r="C119" s="42" t="s">
        <v>182</v>
      </c>
      <c r="D119" s="422" t="s">
        <v>128</v>
      </c>
      <c r="E119" s="42" t="s">
        <v>13</v>
      </c>
      <c r="F119" s="42">
        <v>35</v>
      </c>
      <c r="G119" s="42">
        <v>67.1</v>
      </c>
      <c r="H119" s="42" t="s">
        <v>21</v>
      </c>
      <c r="I119" s="172" t="str">
        <f>VLOOKUP(H119,Sheet4!A:B,2,)</f>
        <v>Black Machine Face</v>
      </c>
      <c r="J119" s="21">
        <f>4-4+4-4</f>
        <v>0</v>
      </c>
    </row>
    <row r="120" s="6" customFormat="1" ht="38" customHeight="1" spans="1:10">
      <c r="A120" s="44"/>
      <c r="B120" s="99" t="s">
        <v>192</v>
      </c>
      <c r="C120" s="42" t="s">
        <v>182</v>
      </c>
      <c r="D120" s="422" t="s">
        <v>12</v>
      </c>
      <c r="E120" s="42" t="s">
        <v>13</v>
      </c>
      <c r="F120" s="42">
        <v>35</v>
      </c>
      <c r="G120" s="42">
        <v>67.1</v>
      </c>
      <c r="H120" s="42" t="s">
        <v>21</v>
      </c>
      <c r="I120" s="172" t="str">
        <f>VLOOKUP(H120,Sheet4!A:B,2,)</f>
        <v>Black Machine Face</v>
      </c>
      <c r="J120" s="21">
        <f>8-4-4</f>
        <v>0</v>
      </c>
    </row>
    <row r="121" ht="38" customHeight="1" spans="1:10">
      <c r="A121" s="84"/>
      <c r="B121" s="155" t="s">
        <v>193</v>
      </c>
      <c r="C121" s="182" t="s">
        <v>182</v>
      </c>
      <c r="D121" s="306" t="s">
        <v>44</v>
      </c>
      <c r="E121" s="306" t="s">
        <v>13</v>
      </c>
      <c r="F121" s="306">
        <v>35</v>
      </c>
      <c r="G121" s="306">
        <v>67.1</v>
      </c>
      <c r="H121" s="182" t="s">
        <v>36</v>
      </c>
      <c r="I121" s="184" t="str">
        <f>VLOOKUP(H121,Sheet4!A:B,2,)</f>
        <v>Black Machine Face</v>
      </c>
      <c r="J121" s="43">
        <f>12-4-4-1</f>
        <v>3</v>
      </c>
    </row>
    <row r="122" ht="57" customHeight="1" spans="1:10">
      <c r="A122" s="82"/>
      <c r="B122" s="19" t="s">
        <v>194</v>
      </c>
      <c r="C122" s="42" t="s">
        <v>182</v>
      </c>
      <c r="D122" s="42" t="s">
        <v>12</v>
      </c>
      <c r="E122" s="42" t="s">
        <v>13</v>
      </c>
      <c r="F122" s="42">
        <v>35</v>
      </c>
      <c r="G122" s="42">
        <v>67.1</v>
      </c>
      <c r="H122" s="42" t="s">
        <v>53</v>
      </c>
      <c r="I122" s="172" t="str">
        <f>VLOOKUP(H122,Sheet4!A:B,2,)</f>
        <v>polish</v>
      </c>
      <c r="J122" s="42">
        <f>4-4</f>
        <v>0</v>
      </c>
    </row>
    <row r="123" ht="57" customHeight="1" spans="1:10">
      <c r="A123" s="84"/>
      <c r="B123" s="155" t="s">
        <v>195</v>
      </c>
      <c r="C123" s="182" t="s">
        <v>182</v>
      </c>
      <c r="D123" s="306" t="s">
        <v>44</v>
      </c>
      <c r="E123" s="306" t="s">
        <v>13</v>
      </c>
      <c r="F123" s="306">
        <v>35</v>
      </c>
      <c r="G123" s="306">
        <v>67.1</v>
      </c>
      <c r="H123" s="182" t="s">
        <v>53</v>
      </c>
      <c r="I123" s="184" t="str">
        <f>VLOOKUP(H123,Sheet4!A:B,2,)</f>
        <v>polish</v>
      </c>
      <c r="J123" s="43">
        <f>8-4+4-4</f>
        <v>4</v>
      </c>
    </row>
    <row r="124" s="378" customFormat="1" ht="55" customHeight="1" spans="1:10">
      <c r="A124" s="82"/>
      <c r="B124" s="134" t="s">
        <v>196</v>
      </c>
      <c r="C124" s="179" t="s">
        <v>182</v>
      </c>
      <c r="D124" s="177" t="s">
        <v>12</v>
      </c>
      <c r="E124" s="177" t="s">
        <v>13</v>
      </c>
      <c r="F124" s="177">
        <v>38</v>
      </c>
      <c r="G124" s="177">
        <v>67.1</v>
      </c>
      <c r="H124" s="179" t="s">
        <v>197</v>
      </c>
      <c r="I124" s="181" t="str">
        <f>VLOOKUP(H124,Sheet4!A:B,2,)</f>
        <v>polish</v>
      </c>
      <c r="J124" s="42">
        <f>8-4-4+8-4-4+4-4+4</f>
        <v>4</v>
      </c>
    </row>
    <row r="125" s="378" customFormat="1" ht="55" customHeight="1" spans="1:10">
      <c r="A125" s="84"/>
      <c r="B125" s="155" t="s">
        <v>198</v>
      </c>
      <c r="C125" s="182" t="s">
        <v>182</v>
      </c>
      <c r="D125" s="306" t="s">
        <v>44</v>
      </c>
      <c r="E125" s="306" t="s">
        <v>13</v>
      </c>
      <c r="F125" s="306">
        <v>38</v>
      </c>
      <c r="G125" s="306">
        <v>67.1</v>
      </c>
      <c r="H125" s="182" t="s">
        <v>197</v>
      </c>
      <c r="I125" s="184" t="str">
        <f>VLOOKUP(H125,Sheet4!A:B,2,)</f>
        <v>polish</v>
      </c>
      <c r="J125" s="43">
        <f>8-4-4</f>
        <v>0</v>
      </c>
    </row>
    <row r="126" s="6" customFormat="1" ht="113" customHeight="1" spans="1:10">
      <c r="A126" s="84"/>
      <c r="B126" s="155" t="s">
        <v>199</v>
      </c>
      <c r="C126" s="182" t="s">
        <v>200</v>
      </c>
      <c r="D126" s="306" t="s">
        <v>23</v>
      </c>
      <c r="E126" s="306" t="s">
        <v>40</v>
      </c>
      <c r="F126" s="306">
        <v>38</v>
      </c>
      <c r="G126" s="306">
        <v>67.1</v>
      </c>
      <c r="H126" s="182" t="s">
        <v>21</v>
      </c>
      <c r="I126" s="184" t="str">
        <f>VLOOKUP(H126,Sheet4!A:B,2,)</f>
        <v>Black Machine Face</v>
      </c>
      <c r="J126" s="43">
        <f>4-4</f>
        <v>0</v>
      </c>
    </row>
    <row r="127" s="6" customFormat="1" ht="105" customHeight="1" spans="1:10">
      <c r="A127" s="84"/>
      <c r="B127" s="155" t="s">
        <v>201</v>
      </c>
      <c r="C127" s="182" t="s">
        <v>200</v>
      </c>
      <c r="D127" s="306" t="s">
        <v>23</v>
      </c>
      <c r="E127" s="306" t="s">
        <v>40</v>
      </c>
      <c r="F127" s="306">
        <v>38</v>
      </c>
      <c r="G127" s="306">
        <v>67.1</v>
      </c>
      <c r="H127" s="182" t="s">
        <v>21</v>
      </c>
      <c r="I127" s="184" t="str">
        <f>VLOOKUP(H127,Sheet4!A:B,2,)</f>
        <v>Black Machine Face</v>
      </c>
      <c r="J127" s="43">
        <f>4-4+8-4-4+4+8-4-4-4+12-4-4-4</f>
        <v>0</v>
      </c>
    </row>
    <row r="128" ht="55" customHeight="1" spans="1:10">
      <c r="A128" s="82"/>
      <c r="B128" s="134" t="s">
        <v>202</v>
      </c>
      <c r="C128" s="179" t="s">
        <v>200</v>
      </c>
      <c r="D128" s="177" t="s">
        <v>23</v>
      </c>
      <c r="E128" s="177" t="s">
        <v>40</v>
      </c>
      <c r="F128" s="177">
        <v>38</v>
      </c>
      <c r="G128" s="177">
        <v>67.1</v>
      </c>
      <c r="H128" s="179" t="s">
        <v>53</v>
      </c>
      <c r="I128" s="181" t="str">
        <f>VLOOKUP(H128,Sheet4!A:B,2,)</f>
        <v>polish</v>
      </c>
      <c r="J128" s="42">
        <f>4+4+4-4-4</f>
        <v>4</v>
      </c>
    </row>
    <row r="129" ht="55" customHeight="1" spans="1:10">
      <c r="A129" s="84"/>
      <c r="B129" s="155" t="s">
        <v>203</v>
      </c>
      <c r="C129" s="182" t="s">
        <v>200</v>
      </c>
      <c r="D129" s="306" t="s">
        <v>29</v>
      </c>
      <c r="E129" s="306" t="s">
        <v>40</v>
      </c>
      <c r="F129" s="306">
        <v>38</v>
      </c>
      <c r="G129" s="306">
        <v>67.1</v>
      </c>
      <c r="H129" s="182" t="s">
        <v>53</v>
      </c>
      <c r="I129" s="184" t="str">
        <f>VLOOKUP(H129,Sheet4!A:B,2,)</f>
        <v>polish</v>
      </c>
      <c r="J129" s="43">
        <f>4-4+8-4-4</f>
        <v>0</v>
      </c>
    </row>
    <row r="130" ht="54" customHeight="1" spans="1:10">
      <c r="A130" s="82"/>
      <c r="B130" s="134" t="s">
        <v>204</v>
      </c>
      <c r="C130" s="179" t="s">
        <v>200</v>
      </c>
      <c r="D130" s="177" t="s">
        <v>23</v>
      </c>
      <c r="E130" s="177" t="s">
        <v>40</v>
      </c>
      <c r="F130" s="177">
        <v>38</v>
      </c>
      <c r="G130" s="177">
        <v>67.1</v>
      </c>
      <c r="H130" s="179" t="s">
        <v>21</v>
      </c>
      <c r="I130" s="181" t="str">
        <f>VLOOKUP(H130,Sheet4!A:B,2,)</f>
        <v>Black Machine Face</v>
      </c>
      <c r="J130" s="42">
        <f>8+4-4-4-4+4-4+4-4+1-1+6-2-4+8-4-4+8+4-4-4+4-4-4+4-4+4-4+4+4-4-4+4+8</f>
        <v>12</v>
      </c>
    </row>
    <row r="131" ht="54" customHeight="1" spans="1:10">
      <c r="A131" s="84"/>
      <c r="B131" s="155" t="s">
        <v>205</v>
      </c>
      <c r="C131" s="182" t="s">
        <v>200</v>
      </c>
      <c r="D131" s="306" t="s">
        <v>29</v>
      </c>
      <c r="E131" s="306" t="s">
        <v>40</v>
      </c>
      <c r="F131" s="306">
        <v>38</v>
      </c>
      <c r="G131" s="306">
        <v>67.1</v>
      </c>
      <c r="H131" s="182" t="s">
        <v>21</v>
      </c>
      <c r="I131" s="184" t="str">
        <f>VLOOKUP(H131,Sheet4!A:B,2,)</f>
        <v>Black Machine Face</v>
      </c>
      <c r="J131" s="43">
        <f>4-4</f>
        <v>0</v>
      </c>
    </row>
    <row r="132" ht="41" customHeight="1" spans="1:10">
      <c r="A132" s="82"/>
      <c r="B132" s="19" t="s">
        <v>206</v>
      </c>
      <c r="C132" s="42" t="s">
        <v>207</v>
      </c>
      <c r="D132" s="42" t="s">
        <v>186</v>
      </c>
      <c r="E132" s="42" t="s">
        <v>208</v>
      </c>
      <c r="F132" s="42">
        <v>42</v>
      </c>
      <c r="G132" s="42">
        <v>67.1</v>
      </c>
      <c r="H132" s="42" t="s">
        <v>53</v>
      </c>
      <c r="I132" s="172" t="str">
        <f>VLOOKUP(H132,Sheet4!A:B,2,)</f>
        <v>polish</v>
      </c>
      <c r="J132" s="42">
        <f>1+4-4+8-4-4</f>
        <v>1</v>
      </c>
    </row>
    <row r="133" ht="41" customHeight="1" spans="1:10">
      <c r="A133" s="82"/>
      <c r="B133" s="19" t="s">
        <v>209</v>
      </c>
      <c r="C133" s="42" t="s">
        <v>207</v>
      </c>
      <c r="D133" s="42" t="s">
        <v>44</v>
      </c>
      <c r="E133" s="42" t="s">
        <v>208</v>
      </c>
      <c r="F133" s="42">
        <v>40</v>
      </c>
      <c r="G133" s="42">
        <v>67.1</v>
      </c>
      <c r="H133" s="42" t="s">
        <v>53</v>
      </c>
      <c r="I133" s="172" t="str">
        <f>VLOOKUP(H133,Sheet4!A:B,2,)</f>
        <v>polish</v>
      </c>
      <c r="J133" s="42">
        <f>4+4-8</f>
        <v>0</v>
      </c>
    </row>
    <row r="134" ht="41" customHeight="1" spans="1:10">
      <c r="A134" s="84"/>
      <c r="B134" s="155" t="s">
        <v>210</v>
      </c>
      <c r="C134" s="182" t="s">
        <v>207</v>
      </c>
      <c r="D134" s="306" t="s">
        <v>190</v>
      </c>
      <c r="E134" s="306" t="s">
        <v>208</v>
      </c>
      <c r="F134" s="306">
        <v>40</v>
      </c>
      <c r="G134" s="306">
        <v>67.1</v>
      </c>
      <c r="H134" s="182" t="s">
        <v>53</v>
      </c>
      <c r="I134" s="184" t="str">
        <f>VLOOKUP(H134,Sheet4!A:B,2,)</f>
        <v>polish</v>
      </c>
      <c r="J134" s="43">
        <f>8-4-4+4</f>
        <v>4</v>
      </c>
    </row>
    <row r="135" ht="57" customHeight="1" spans="1:10">
      <c r="A135" s="82"/>
      <c r="B135" s="19" t="s">
        <v>211</v>
      </c>
      <c r="C135" s="42" t="s">
        <v>207</v>
      </c>
      <c r="D135" s="42" t="s">
        <v>186</v>
      </c>
      <c r="E135" s="42" t="s">
        <v>208</v>
      </c>
      <c r="F135" s="42">
        <v>42</v>
      </c>
      <c r="G135" s="42">
        <v>67.1</v>
      </c>
      <c r="H135" s="42" t="s">
        <v>21</v>
      </c>
      <c r="I135" s="172" t="str">
        <f>VLOOKUP(H135,Sheet4!A:B,2,)</f>
        <v>Black Machine Face</v>
      </c>
      <c r="J135" s="42">
        <f>6+2-4-4+16-4-4-4+4-4+4+12-4-4-4-4-4</f>
        <v>0</v>
      </c>
    </row>
    <row r="136" ht="57" customHeight="1" spans="1:10">
      <c r="A136" s="84"/>
      <c r="B136" s="155" t="s">
        <v>212</v>
      </c>
      <c r="C136" s="182" t="s">
        <v>207</v>
      </c>
      <c r="D136" s="306" t="s">
        <v>44</v>
      </c>
      <c r="E136" s="306" t="s">
        <v>208</v>
      </c>
      <c r="F136" s="306">
        <v>40</v>
      </c>
      <c r="G136" s="306">
        <v>67.1</v>
      </c>
      <c r="H136" s="182" t="s">
        <v>21</v>
      </c>
      <c r="I136" s="184" t="str">
        <f>VLOOKUP(H136,Sheet4!A:B,2,)</f>
        <v>Black Machine Face</v>
      </c>
      <c r="J136" s="43">
        <f>4-4+12</f>
        <v>12</v>
      </c>
    </row>
    <row r="137" ht="42" customHeight="1" spans="1:10">
      <c r="A137" s="82"/>
      <c r="B137" s="19" t="s">
        <v>213</v>
      </c>
      <c r="C137" s="42" t="s">
        <v>207</v>
      </c>
      <c r="D137" s="42" t="s">
        <v>186</v>
      </c>
      <c r="E137" s="42" t="s">
        <v>208</v>
      </c>
      <c r="F137" s="42">
        <v>42</v>
      </c>
      <c r="G137" s="42">
        <v>67.1</v>
      </c>
      <c r="H137" s="42" t="s">
        <v>21</v>
      </c>
      <c r="I137" s="172" t="str">
        <f>VLOOKUP(H137,Sheet4!A:B,2,)</f>
        <v>Black Machine Face</v>
      </c>
      <c r="J137" s="42">
        <f>4-4+12-4-4-4+12-4-4-4+12-4-4-4+12-4-4+4-4-4+12-4</f>
        <v>8</v>
      </c>
    </row>
    <row r="138" ht="42" customHeight="1" spans="1:10">
      <c r="A138" s="82"/>
      <c r="B138" s="19" t="s">
        <v>214</v>
      </c>
      <c r="C138" s="42" t="s">
        <v>207</v>
      </c>
      <c r="D138" s="42" t="s">
        <v>44</v>
      </c>
      <c r="E138" s="42" t="s">
        <v>208</v>
      </c>
      <c r="F138" s="42">
        <v>40</v>
      </c>
      <c r="G138" s="42">
        <v>67.1</v>
      </c>
      <c r="H138" s="42" t="s">
        <v>21</v>
      </c>
      <c r="I138" s="172" t="str">
        <f>VLOOKUP(H138,Sheet4!A:B,2,)</f>
        <v>Black Machine Face</v>
      </c>
      <c r="J138" s="42">
        <f>4-4+4+4-4-4+8+12-4</f>
        <v>16</v>
      </c>
    </row>
    <row r="139" ht="36" customHeight="1" spans="1:10">
      <c r="A139" s="84"/>
      <c r="B139" s="155" t="s">
        <v>215</v>
      </c>
      <c r="C139" s="182" t="s">
        <v>207</v>
      </c>
      <c r="D139" s="306" t="s">
        <v>190</v>
      </c>
      <c r="E139" s="306" t="s">
        <v>208</v>
      </c>
      <c r="F139" s="306">
        <v>40</v>
      </c>
      <c r="G139" s="306">
        <v>67.1</v>
      </c>
      <c r="H139" s="182" t="s">
        <v>21</v>
      </c>
      <c r="I139" s="184" t="str">
        <f>VLOOKUP(H139,Sheet4!A:B,2,)</f>
        <v>Black Machine Face</v>
      </c>
      <c r="J139" s="43">
        <f>12-4-4-4</f>
        <v>0</v>
      </c>
    </row>
    <row r="140" s="8" customFormat="1" ht="113" customHeight="1" spans="1:10">
      <c r="A140" s="84"/>
      <c r="B140" s="23" t="s">
        <v>216</v>
      </c>
      <c r="C140" s="43" t="s">
        <v>217</v>
      </c>
      <c r="D140" s="43" t="s">
        <v>34</v>
      </c>
      <c r="E140" s="43" t="s">
        <v>218</v>
      </c>
      <c r="F140" s="43">
        <v>38</v>
      </c>
      <c r="G140" s="43">
        <v>71.56</v>
      </c>
      <c r="H140" s="43" t="s">
        <v>21</v>
      </c>
      <c r="I140" s="174" t="str">
        <f>VLOOKUP(H140,Sheet4!A:B,2,)</f>
        <v>Black Machine Face</v>
      </c>
      <c r="J140" s="43">
        <f>8-4-4</f>
        <v>0</v>
      </c>
    </row>
    <row r="141" s="8" customFormat="1" ht="30" customHeight="1" spans="1:10">
      <c r="A141" s="82"/>
      <c r="B141" s="19" t="s">
        <v>219</v>
      </c>
      <c r="C141" s="42" t="s">
        <v>220</v>
      </c>
      <c r="D141" s="42" t="s">
        <v>23</v>
      </c>
      <c r="E141" s="42" t="s">
        <v>208</v>
      </c>
      <c r="F141" s="42">
        <v>28</v>
      </c>
      <c r="G141" s="42">
        <v>66.45</v>
      </c>
      <c r="H141" s="42" t="s">
        <v>16</v>
      </c>
      <c r="I141" s="172" t="str">
        <f>VLOOKUP(H141,Sheet4!A:B,2,)</f>
        <v>GLOSS BLACK</v>
      </c>
      <c r="J141" s="42">
        <f>8-4-4+4-4</f>
        <v>0</v>
      </c>
    </row>
    <row r="142" s="8" customFormat="1" ht="30" customHeight="1" spans="1:10">
      <c r="A142" s="82"/>
      <c r="B142" s="19" t="s">
        <v>221</v>
      </c>
      <c r="C142" s="42" t="s">
        <v>220</v>
      </c>
      <c r="D142" s="42" t="s">
        <v>19</v>
      </c>
      <c r="E142" s="42" t="s">
        <v>208</v>
      </c>
      <c r="F142" s="42">
        <v>30</v>
      </c>
      <c r="G142" s="42">
        <v>66.45</v>
      </c>
      <c r="H142" s="42" t="s">
        <v>87</v>
      </c>
      <c r="I142" s="172" t="str">
        <f>VLOOKUP(H142,Sheet4!A:B,2,)</f>
        <v>Gunmetal Machine Face</v>
      </c>
      <c r="J142" s="42">
        <f>4+4-4-4</f>
        <v>0</v>
      </c>
    </row>
    <row r="143" s="8" customFormat="1" ht="30" customHeight="1" spans="1:10">
      <c r="A143" s="82"/>
      <c r="B143" s="19" t="s">
        <v>222</v>
      </c>
      <c r="C143" s="42" t="s">
        <v>220</v>
      </c>
      <c r="D143" s="42" t="s">
        <v>19</v>
      </c>
      <c r="E143" s="42" t="s">
        <v>208</v>
      </c>
      <c r="F143" s="42">
        <v>32</v>
      </c>
      <c r="G143" s="42">
        <v>66.45</v>
      </c>
      <c r="H143" s="42" t="s">
        <v>16</v>
      </c>
      <c r="I143" s="172" t="str">
        <f>VLOOKUP(H143,Sheet4!A:B,2,)</f>
        <v>GLOSS BLACK</v>
      </c>
      <c r="J143" s="42">
        <f>8-4-4+4-4+4-4+4-4+4-4+4-4+8</f>
        <v>8</v>
      </c>
    </row>
    <row r="144" s="8" customFormat="1" ht="30" customHeight="1" spans="1:10">
      <c r="A144" s="82"/>
      <c r="B144" s="19" t="s">
        <v>223</v>
      </c>
      <c r="C144" s="42" t="s">
        <v>224</v>
      </c>
      <c r="D144" s="42" t="s">
        <v>225</v>
      </c>
      <c r="E144" s="382" t="s">
        <v>218</v>
      </c>
      <c r="F144" s="42">
        <v>50</v>
      </c>
      <c r="G144" s="42">
        <v>71.56</v>
      </c>
      <c r="H144" s="42" t="s">
        <v>16</v>
      </c>
      <c r="I144" s="172" t="str">
        <f>VLOOKUP(H144,Sheet4!A:B,2,)</f>
        <v>GLOSS BLACK</v>
      </c>
      <c r="J144" s="42">
        <f>4+4-4-4</f>
        <v>0</v>
      </c>
    </row>
    <row r="145" s="8" customFormat="1" ht="30" customHeight="1" spans="1:10">
      <c r="A145" s="82"/>
      <c r="B145" s="19" t="s">
        <v>226</v>
      </c>
      <c r="C145" s="42" t="s">
        <v>220</v>
      </c>
      <c r="D145" s="42" t="s">
        <v>39</v>
      </c>
      <c r="E145" s="42" t="s">
        <v>208</v>
      </c>
      <c r="F145" s="42">
        <v>30</v>
      </c>
      <c r="G145" s="42">
        <v>66.45</v>
      </c>
      <c r="H145" s="42" t="s">
        <v>87</v>
      </c>
      <c r="I145" s="172" t="str">
        <f>VLOOKUP(H145,Sheet4!A:B,2,)</f>
        <v>Gunmetal Machine Face</v>
      </c>
      <c r="J145" s="42">
        <f>4-4+4-4+4-4</f>
        <v>0</v>
      </c>
    </row>
    <row r="146" s="8" customFormat="1" ht="30" customHeight="1" spans="1:10">
      <c r="A146" s="82"/>
      <c r="B146" s="19" t="s">
        <v>227</v>
      </c>
      <c r="C146" s="42" t="s">
        <v>220</v>
      </c>
      <c r="D146" s="42" t="s">
        <v>39</v>
      </c>
      <c r="E146" s="42" t="s">
        <v>208</v>
      </c>
      <c r="F146" s="42">
        <v>30</v>
      </c>
      <c r="G146" s="42">
        <v>66.45</v>
      </c>
      <c r="H146" s="42" t="s">
        <v>16</v>
      </c>
      <c r="I146" s="172" t="str">
        <f>VLOOKUP(H146,Sheet4!A:B,2,)</f>
        <v>GLOSS BLACK</v>
      </c>
      <c r="J146" s="42">
        <f>4-4</f>
        <v>0</v>
      </c>
    </row>
    <row r="147" s="8" customFormat="1" ht="30" customHeight="1" spans="1:10">
      <c r="A147" s="84"/>
      <c r="B147" s="23" t="s">
        <v>228</v>
      </c>
      <c r="C147" s="43" t="s">
        <v>220</v>
      </c>
      <c r="D147" s="43" t="s">
        <v>39</v>
      </c>
      <c r="E147" s="43" t="s">
        <v>208</v>
      </c>
      <c r="F147" s="43">
        <v>31</v>
      </c>
      <c r="G147" s="43">
        <v>66.45</v>
      </c>
      <c r="H147" s="43" t="s">
        <v>69</v>
      </c>
      <c r="I147" s="174" t="str">
        <f>VLOOKUP(H147,Sheet4!A:B,2,)</f>
        <v>GREY</v>
      </c>
      <c r="J147" s="43">
        <f>4-4+4-4</f>
        <v>0</v>
      </c>
    </row>
    <row r="148" s="8" customFormat="1" ht="127" customHeight="1" spans="1:10">
      <c r="A148" s="84"/>
      <c r="B148" s="23" t="s">
        <v>229</v>
      </c>
      <c r="C148" s="43" t="s">
        <v>230</v>
      </c>
      <c r="D148" s="306" t="s">
        <v>23</v>
      </c>
      <c r="E148" s="306" t="s">
        <v>208</v>
      </c>
      <c r="F148" s="306">
        <v>38</v>
      </c>
      <c r="G148" s="392">
        <v>57.1</v>
      </c>
      <c r="H148" s="182" t="s">
        <v>53</v>
      </c>
      <c r="I148" s="184" t="str">
        <f>VLOOKUP(H148,Sheet4!A:B,2,)</f>
        <v>polish</v>
      </c>
      <c r="J148" s="43">
        <f>4-4+8-4-4+4-4+4-4+4-4+4-4</f>
        <v>0</v>
      </c>
    </row>
    <row r="149" s="8" customFormat="1" ht="118" customHeight="1" spans="1:10">
      <c r="A149" s="84"/>
      <c r="B149" s="23" t="s">
        <v>231</v>
      </c>
      <c r="C149" s="43" t="s">
        <v>232</v>
      </c>
      <c r="D149" s="306" t="s">
        <v>29</v>
      </c>
      <c r="E149" s="306" t="s">
        <v>208</v>
      </c>
      <c r="F149" s="306">
        <v>34</v>
      </c>
      <c r="G149" s="392">
        <v>57.1</v>
      </c>
      <c r="H149" s="182" t="s">
        <v>53</v>
      </c>
      <c r="I149" s="184" t="str">
        <f>VLOOKUP(H149,Sheet4!A:B,2,)</f>
        <v>polish</v>
      </c>
      <c r="J149" s="43">
        <f>4-4+8-4-4+4-4+4-4+4-4+4-4+8</f>
        <v>8</v>
      </c>
    </row>
    <row r="150" s="6" customFormat="1" ht="58" customHeight="1" spans="1:10">
      <c r="A150" s="82"/>
      <c r="B150" s="19" t="s">
        <v>233</v>
      </c>
      <c r="C150" s="42" t="s">
        <v>234</v>
      </c>
      <c r="D150" s="42" t="s">
        <v>12</v>
      </c>
      <c r="E150" s="42" t="s">
        <v>208</v>
      </c>
      <c r="F150" s="42">
        <v>35</v>
      </c>
      <c r="G150" s="42">
        <v>57.1</v>
      </c>
      <c r="H150" s="42" t="s">
        <v>21</v>
      </c>
      <c r="I150" s="172" t="str">
        <f>VLOOKUP(H150,Sheet4!A:B,2,)</f>
        <v>Black Machine Face</v>
      </c>
      <c r="J150" s="42">
        <f>4-4+8-4-4+4-4+4-4+8-4</f>
        <v>4</v>
      </c>
    </row>
    <row r="151" s="6" customFormat="1" ht="58" customHeight="1" spans="1:10">
      <c r="A151" s="84"/>
      <c r="B151" s="155" t="s">
        <v>235</v>
      </c>
      <c r="C151" s="43" t="s">
        <v>234</v>
      </c>
      <c r="D151" s="306" t="s">
        <v>23</v>
      </c>
      <c r="E151" s="306" t="s">
        <v>208</v>
      </c>
      <c r="F151" s="306">
        <v>38</v>
      </c>
      <c r="G151" s="192">
        <v>57.1</v>
      </c>
      <c r="H151" s="182" t="s">
        <v>21</v>
      </c>
      <c r="I151" s="184" t="str">
        <f>VLOOKUP(H151,Sheet4!A:B,2,)</f>
        <v>Black Machine Face</v>
      </c>
      <c r="J151" s="43">
        <v>0</v>
      </c>
    </row>
    <row r="152" s="378" customFormat="1" ht="30" customHeight="1" spans="1:10">
      <c r="A152" s="400"/>
      <c r="B152" s="19" t="s">
        <v>236</v>
      </c>
      <c r="C152" s="172" t="s">
        <v>237</v>
      </c>
      <c r="D152" s="42" t="s">
        <v>12</v>
      </c>
      <c r="E152" s="42" t="s">
        <v>208</v>
      </c>
      <c r="F152" s="42">
        <v>35</v>
      </c>
      <c r="G152" s="42">
        <v>57.1</v>
      </c>
      <c r="H152" s="42" t="s">
        <v>238</v>
      </c>
      <c r="I152" s="172" t="str">
        <f>VLOOKUP(H152,Sheet4!A:B,2,)</f>
        <v>Fine shimmer silver</v>
      </c>
      <c r="J152" s="42">
        <f>8-4-4+4-4+4-4+4-4+4+12-4-4-4-4+4-4+4-4+4-4+8-4-4</f>
        <v>0</v>
      </c>
    </row>
    <row r="153" s="378" customFormat="1" ht="30" customHeight="1" spans="1:10">
      <c r="A153" s="400"/>
      <c r="B153" s="19" t="s">
        <v>239</v>
      </c>
      <c r="C153" s="172" t="s">
        <v>237</v>
      </c>
      <c r="D153" s="42" t="s">
        <v>12</v>
      </c>
      <c r="E153" s="42" t="s">
        <v>208</v>
      </c>
      <c r="F153" s="42">
        <v>35</v>
      </c>
      <c r="G153" s="42">
        <v>57.1</v>
      </c>
      <c r="H153" s="42" t="s">
        <v>16</v>
      </c>
      <c r="I153" s="172" t="str">
        <f>VLOOKUP(H153,Sheet4!A:B,2,)</f>
        <v>GLOSS BLACK</v>
      </c>
      <c r="J153" s="42">
        <f>8-4</f>
        <v>4</v>
      </c>
    </row>
    <row r="154" s="378" customFormat="1" ht="30" customHeight="1" spans="1:10">
      <c r="A154" s="400"/>
      <c r="B154" s="19" t="s">
        <v>240</v>
      </c>
      <c r="C154" s="172" t="s">
        <v>237</v>
      </c>
      <c r="D154" s="42" t="s">
        <v>23</v>
      </c>
      <c r="E154" s="42" t="s">
        <v>208</v>
      </c>
      <c r="F154" s="42">
        <v>38</v>
      </c>
      <c r="G154" s="42">
        <v>57.1</v>
      </c>
      <c r="H154" s="42" t="s">
        <v>238</v>
      </c>
      <c r="I154" s="172" t="str">
        <f>VLOOKUP(H154,Sheet4!A:B,2,)</f>
        <v>Fine shimmer silver</v>
      </c>
      <c r="J154" s="42">
        <f>4-4+4-4+4-4+4</f>
        <v>4</v>
      </c>
    </row>
    <row r="155" s="378" customFormat="1" ht="30" customHeight="1" spans="1:10">
      <c r="A155" s="423"/>
      <c r="B155" s="23" t="s">
        <v>241</v>
      </c>
      <c r="C155" s="174" t="s">
        <v>237</v>
      </c>
      <c r="D155" s="43" t="s">
        <v>23</v>
      </c>
      <c r="E155" s="43" t="s">
        <v>208</v>
      </c>
      <c r="F155" s="43">
        <v>38</v>
      </c>
      <c r="G155" s="43">
        <v>57.1</v>
      </c>
      <c r="H155" s="43" t="s">
        <v>16</v>
      </c>
      <c r="I155" s="174" t="str">
        <f>VLOOKUP(H155,Sheet4!A:B,2,)</f>
        <v>GLOSS BLACK</v>
      </c>
      <c r="J155" s="43">
        <f>4-4+4+4-4</f>
        <v>4</v>
      </c>
    </row>
    <row r="156" s="6" customFormat="1" ht="53" customHeight="1" spans="1:10">
      <c r="A156" s="82"/>
      <c r="B156" s="19" t="s">
        <v>242</v>
      </c>
      <c r="C156" s="42" t="s">
        <v>243</v>
      </c>
      <c r="D156" s="42" t="s">
        <v>29</v>
      </c>
      <c r="E156" s="42" t="s">
        <v>208</v>
      </c>
      <c r="F156" s="42" t="s">
        <v>244</v>
      </c>
      <c r="G156" s="42">
        <v>66.45</v>
      </c>
      <c r="H156" s="42" t="s">
        <v>21</v>
      </c>
      <c r="I156" s="172" t="str">
        <f>VLOOKUP(H156,Sheet4!A:B,2,)</f>
        <v>Black Machine Face</v>
      </c>
      <c r="J156" s="42">
        <f>4-4+4+12-4-4-4</f>
        <v>4</v>
      </c>
    </row>
    <row r="157" s="6" customFormat="1" ht="53" customHeight="1" spans="1:10">
      <c r="A157" s="84"/>
      <c r="B157" s="155" t="s">
        <v>245</v>
      </c>
      <c r="C157" s="182" t="s">
        <v>243</v>
      </c>
      <c r="D157" s="306" t="s">
        <v>31</v>
      </c>
      <c r="E157" s="306" t="s">
        <v>208</v>
      </c>
      <c r="F157" s="306">
        <v>32</v>
      </c>
      <c r="G157" s="306">
        <v>66.45</v>
      </c>
      <c r="H157" s="182" t="s">
        <v>21</v>
      </c>
      <c r="I157" s="184" t="str">
        <f>VLOOKUP(H157,Sheet4!A:B,2,)</f>
        <v>Black Machine Face</v>
      </c>
      <c r="J157" s="43">
        <f>4-4+4-1+1-4+4+4-4-4+4-4+4-4+8-4-4+4-4+8</f>
        <v>8</v>
      </c>
    </row>
    <row r="158" s="6" customFormat="1" ht="105" customHeight="1" spans="1:10">
      <c r="A158" s="84"/>
      <c r="B158" s="23" t="s">
        <v>246</v>
      </c>
      <c r="C158" s="43" t="s">
        <v>243</v>
      </c>
      <c r="D158" s="43" t="s">
        <v>29</v>
      </c>
      <c r="E158" s="43" t="s">
        <v>208</v>
      </c>
      <c r="F158" s="43">
        <v>30</v>
      </c>
      <c r="G158" s="43">
        <v>57.1</v>
      </c>
      <c r="H158" s="43" t="s">
        <v>16</v>
      </c>
      <c r="I158" s="174" t="str">
        <f>VLOOKUP(H158,Sheet4!A:B,2,)</f>
        <v>GLOSS BLACK</v>
      </c>
      <c r="J158" s="43">
        <f>4</f>
        <v>4</v>
      </c>
    </row>
  </sheetData>
  <autoFilter xmlns:etc="http://www.wps.cn/officeDocument/2017/etCustomData" ref="A2:J158" etc:filterBottomFollowUsedRange="0">
    <extLst/>
  </autoFilter>
  <mergeCells count="7">
    <mergeCell ref="A28:A29"/>
    <mergeCell ref="A30:A31"/>
    <mergeCell ref="A32:A33"/>
    <mergeCell ref="A36:A37"/>
    <mergeCell ref="A63:A66"/>
    <mergeCell ref="A97:A98"/>
    <mergeCell ref="A99:A100"/>
  </mergeCells>
  <pageMargins left="0.0388888888888889" right="0.0388888888888889" top="0.156944444444444" bottom="0.236111111111111" header="0.511805555555556" footer="0.118055555555556"/>
  <pageSetup paperSize="9" scale="78" orientation="landscape" horizontalDpi="600"/>
  <headerFooter>
    <oddFooter>&amp;C&amp;14日系   第 &amp;P 页，共 &amp;N 页</oddFooter>
  </headerFooter>
  <rowBreaks count="2" manualBreakCount="2">
    <brk id="31" max="9" man="1"/>
    <brk id="44" max="9" man="1"/>
  </rowBreaks>
  <ignoredErrors>
    <ignoredError sqref="I23" evalError="1"/>
  </ignoredErrors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indexed="49"/>
  </sheetPr>
  <dimension ref="A1:J186"/>
  <sheetViews>
    <sheetView workbookViewId="0">
      <pane xSplit="1" ySplit="2" topLeftCell="B52" activePane="bottomRight" state="frozen"/>
      <selection/>
      <selection pane="topRight"/>
      <selection pane="bottomLeft"/>
      <selection pane="bottomRight" activeCell="D61" sqref="D61"/>
    </sheetView>
  </sheetViews>
  <sheetFormatPr defaultColWidth="9" defaultRowHeight="13.5"/>
  <cols>
    <col min="1" max="1" width="22.25" style="8" customWidth="1"/>
    <col min="2" max="2" width="18.5833333333333" style="9" customWidth="1"/>
    <col min="3" max="3" width="15.875" style="10" customWidth="1"/>
    <col min="4" max="4" width="13.8" style="10" customWidth="1"/>
    <col min="5" max="5" width="11.875" style="10" customWidth="1"/>
    <col min="6" max="6" width="10.375" style="10" customWidth="1"/>
    <col min="7" max="7" width="12" style="10" customWidth="1"/>
    <col min="8" max="8" width="19.875" style="10" customWidth="1"/>
    <col min="9" max="9" width="23.75" style="10" customWidth="1"/>
    <col min="10" max="10" width="16.25" style="63" customWidth="1"/>
    <col min="11" max="16384" width="9" style="8"/>
  </cols>
  <sheetData>
    <row r="1" ht="86" customHeight="1"/>
    <row r="2" s="5" customFormat="1" ht="26" customHeight="1" spans="1:10">
      <c r="A2" s="93" t="s">
        <v>0</v>
      </c>
      <c r="B2" s="94" t="s">
        <v>1</v>
      </c>
      <c r="C2" s="94" t="s">
        <v>247</v>
      </c>
      <c r="D2" s="94" t="s">
        <v>3</v>
      </c>
      <c r="E2" s="94" t="s">
        <v>4</v>
      </c>
      <c r="F2" s="94" t="s">
        <v>5</v>
      </c>
      <c r="G2" s="94" t="s">
        <v>6</v>
      </c>
      <c r="H2" s="94" t="s">
        <v>7</v>
      </c>
      <c r="I2" s="94" t="s">
        <v>8</v>
      </c>
      <c r="J2" s="93" t="s">
        <v>9</v>
      </c>
    </row>
    <row r="3" s="6" customFormat="1" ht="97" customHeight="1" spans="1:10">
      <c r="A3" s="84"/>
      <c r="B3" s="155" t="s">
        <v>248</v>
      </c>
      <c r="C3" s="156" t="s">
        <v>249</v>
      </c>
      <c r="D3" s="156" t="s">
        <v>250</v>
      </c>
      <c r="E3" s="146" t="s">
        <v>251</v>
      </c>
      <c r="F3" s="146" t="s">
        <v>252</v>
      </c>
      <c r="G3" s="146">
        <v>62.5</v>
      </c>
      <c r="H3" s="146" t="s">
        <v>53</v>
      </c>
      <c r="I3" s="311" t="str">
        <f>VLOOKUP(H3,Sheet4!A:B,2,)</f>
        <v>polish</v>
      </c>
      <c r="J3" s="43">
        <v>4</v>
      </c>
    </row>
    <row r="4" s="6" customFormat="1" ht="37" customHeight="1" spans="1:10">
      <c r="A4" s="44"/>
      <c r="B4" s="134" t="s">
        <v>253</v>
      </c>
      <c r="C4" s="148" t="s">
        <v>249</v>
      </c>
      <c r="D4" s="142" t="s">
        <v>29</v>
      </c>
      <c r="E4" s="142" t="s">
        <v>251</v>
      </c>
      <c r="F4" s="142">
        <v>35</v>
      </c>
      <c r="G4" s="142">
        <v>62.5</v>
      </c>
      <c r="H4" s="148" t="s">
        <v>21</v>
      </c>
      <c r="I4" s="331" t="str">
        <f>VLOOKUP(H4,Sheet4!A:B,2,)</f>
        <v>Black Machine Face</v>
      </c>
      <c r="J4" s="42">
        <f>6-4</f>
        <v>2</v>
      </c>
    </row>
    <row r="5" s="6" customFormat="1" ht="37" customHeight="1" spans="1:10">
      <c r="A5" s="44"/>
      <c r="B5" s="134" t="s">
        <v>254</v>
      </c>
      <c r="C5" s="20" t="s">
        <v>249</v>
      </c>
      <c r="D5" s="142" t="s">
        <v>225</v>
      </c>
      <c r="E5" s="142" t="s">
        <v>251</v>
      </c>
      <c r="F5" s="142">
        <v>40</v>
      </c>
      <c r="G5" s="142">
        <v>62.5</v>
      </c>
      <c r="H5" s="148" t="s">
        <v>21</v>
      </c>
      <c r="I5" s="331" t="str">
        <f>VLOOKUP(H5,Sheet4!A:B,2,)</f>
        <v>Black Machine Face</v>
      </c>
      <c r="J5" s="42">
        <v>6</v>
      </c>
    </row>
    <row r="6" s="6" customFormat="1" ht="37" customHeight="1" spans="1:10">
      <c r="A6" s="46"/>
      <c r="B6" s="155" t="s">
        <v>255</v>
      </c>
      <c r="C6" s="24" t="s">
        <v>249</v>
      </c>
      <c r="D6" s="146" t="s">
        <v>101</v>
      </c>
      <c r="E6" s="146" t="s">
        <v>251</v>
      </c>
      <c r="F6" s="146">
        <v>35</v>
      </c>
      <c r="G6" s="358">
        <v>73.1</v>
      </c>
      <c r="H6" s="156" t="s">
        <v>21</v>
      </c>
      <c r="I6" s="317" t="str">
        <f>VLOOKUP(H6,Sheet4!A:B,2,)</f>
        <v>Black Machine Face</v>
      </c>
      <c r="J6" s="43">
        <v>4</v>
      </c>
    </row>
    <row r="7" s="6" customFormat="1" ht="55" customHeight="1" spans="1:10">
      <c r="A7" s="82"/>
      <c r="B7" s="134" t="s">
        <v>256</v>
      </c>
      <c r="C7" s="148" t="s">
        <v>257</v>
      </c>
      <c r="D7" s="148" t="s">
        <v>19</v>
      </c>
      <c r="E7" s="142" t="s">
        <v>13</v>
      </c>
      <c r="F7" s="142">
        <v>35</v>
      </c>
      <c r="G7" s="142">
        <v>66.1</v>
      </c>
      <c r="H7" s="142" t="s">
        <v>53</v>
      </c>
      <c r="I7" s="310" t="str">
        <f>VLOOKUP(H7,Sheet4!A:B,2,)</f>
        <v>polish</v>
      </c>
      <c r="J7" s="42">
        <f>16+4-4-4-4-4-4+8</f>
        <v>8</v>
      </c>
    </row>
    <row r="8" s="6" customFormat="1" ht="55" customHeight="1" spans="1:10">
      <c r="A8" s="84"/>
      <c r="B8" s="155" t="s">
        <v>258</v>
      </c>
      <c r="C8" s="156" t="s">
        <v>257</v>
      </c>
      <c r="D8" s="156" t="s">
        <v>34</v>
      </c>
      <c r="E8" s="146" t="s">
        <v>13</v>
      </c>
      <c r="F8" s="146">
        <v>35</v>
      </c>
      <c r="G8" s="146">
        <v>66.1</v>
      </c>
      <c r="H8" s="146" t="s">
        <v>53</v>
      </c>
      <c r="I8" s="311" t="str">
        <f>VLOOKUP(H8,Sheet4!A:B,2,)</f>
        <v>polish</v>
      </c>
      <c r="J8" s="43">
        <f>16-4+4-4-4-4+4-4-4+12-8-4</f>
        <v>0</v>
      </c>
    </row>
    <row r="9" s="6" customFormat="1" ht="109" customHeight="1" spans="1:10">
      <c r="A9" s="82"/>
      <c r="B9" s="134" t="s">
        <v>259</v>
      </c>
      <c r="C9" s="134" t="s">
        <v>260</v>
      </c>
      <c r="D9" s="148" t="s">
        <v>34</v>
      </c>
      <c r="E9" s="148" t="s">
        <v>52</v>
      </c>
      <c r="F9" s="142">
        <v>35</v>
      </c>
      <c r="G9" s="142">
        <v>64.1</v>
      </c>
      <c r="H9" s="142" t="s">
        <v>53</v>
      </c>
      <c r="I9" s="310" t="str">
        <f>VLOOKUP(H9,Sheet4!A:B,2,)</f>
        <v>polish</v>
      </c>
      <c r="J9" s="42">
        <f>8+4-4</f>
        <v>8</v>
      </c>
    </row>
    <row r="10" s="6" customFormat="1" ht="59" customHeight="1" spans="1:10">
      <c r="A10" s="86"/>
      <c r="B10" s="286" t="s">
        <v>261</v>
      </c>
      <c r="C10" s="345" t="s">
        <v>262</v>
      </c>
      <c r="D10" s="287" t="s">
        <v>186</v>
      </c>
      <c r="E10" s="287" t="s">
        <v>13</v>
      </c>
      <c r="F10" s="287">
        <v>40</v>
      </c>
      <c r="G10" s="287">
        <v>64.1</v>
      </c>
      <c r="H10" s="345" t="s">
        <v>14</v>
      </c>
      <c r="I10" s="346" t="str">
        <f>VLOOKUP(H10,Sheet4!A:B,2,)</f>
        <v>Black Electroplate</v>
      </c>
      <c r="J10" s="55">
        <f>4+4+4-4-4-4</f>
        <v>0</v>
      </c>
    </row>
    <row r="11" s="6" customFormat="1" ht="59" customHeight="1" spans="1:10">
      <c r="A11" s="124"/>
      <c r="B11" s="318" t="s">
        <v>263</v>
      </c>
      <c r="C11" s="163" t="s">
        <v>262</v>
      </c>
      <c r="D11" s="319" t="s">
        <v>190</v>
      </c>
      <c r="E11" s="319" t="s">
        <v>13</v>
      </c>
      <c r="F11" s="319">
        <v>35</v>
      </c>
      <c r="G11" s="319">
        <v>64.1</v>
      </c>
      <c r="H11" s="163" t="s">
        <v>14</v>
      </c>
      <c r="I11" s="338" t="str">
        <f>VLOOKUP(H11,Sheet4!A:B,2,)</f>
        <v>Black Electroplate</v>
      </c>
      <c r="J11" s="51">
        <f>8-4+4-4-4</f>
        <v>0</v>
      </c>
    </row>
    <row r="12" s="6" customFormat="1" ht="102" customHeight="1" spans="1:10">
      <c r="A12" s="84"/>
      <c r="B12" s="155" t="s">
        <v>264</v>
      </c>
      <c r="C12" s="156" t="s">
        <v>265</v>
      </c>
      <c r="D12" s="146" t="s">
        <v>31</v>
      </c>
      <c r="E12" s="146" t="s">
        <v>208</v>
      </c>
      <c r="F12" s="146">
        <v>40</v>
      </c>
      <c r="G12" s="146">
        <v>60.1</v>
      </c>
      <c r="H12" s="156" t="s">
        <v>21</v>
      </c>
      <c r="I12" s="338" t="str">
        <f>VLOOKUP(H12,Sheet4!A:B,2,)</f>
        <v>Black Machine Face</v>
      </c>
      <c r="J12" s="43">
        <f>4-4+12-4-4-4</f>
        <v>0</v>
      </c>
    </row>
    <row r="13" s="6" customFormat="1" ht="111" customHeight="1" spans="1:10">
      <c r="A13" s="84"/>
      <c r="B13" s="155" t="s">
        <v>266</v>
      </c>
      <c r="C13" s="24" t="s">
        <v>267</v>
      </c>
      <c r="D13" s="146" t="s">
        <v>23</v>
      </c>
      <c r="E13" s="146" t="s">
        <v>208</v>
      </c>
      <c r="F13" s="146">
        <v>20</v>
      </c>
      <c r="G13" s="146">
        <v>60.1</v>
      </c>
      <c r="H13" s="156" t="s">
        <v>268</v>
      </c>
      <c r="I13" s="317" t="str">
        <f>VLOOKUP(H13,Sheet4!A:B,2,)</f>
        <v>BLACK+WHITE</v>
      </c>
      <c r="J13" s="43">
        <v>0</v>
      </c>
    </row>
    <row r="14" s="6" customFormat="1" ht="112" customHeight="1" spans="1:10">
      <c r="A14" s="124"/>
      <c r="B14" s="318" t="s">
        <v>269</v>
      </c>
      <c r="C14" s="163" t="s">
        <v>270</v>
      </c>
      <c r="D14" s="319" t="s">
        <v>31</v>
      </c>
      <c r="E14" s="319" t="s">
        <v>40</v>
      </c>
      <c r="F14" s="319">
        <v>35</v>
      </c>
      <c r="G14" s="319">
        <v>60.1</v>
      </c>
      <c r="H14" s="163" t="s">
        <v>271</v>
      </c>
      <c r="I14" s="338" t="s">
        <v>272</v>
      </c>
      <c r="J14" s="51">
        <f>4+4+4-4-4</f>
        <v>4</v>
      </c>
    </row>
    <row r="15" s="6" customFormat="1" ht="55" customHeight="1" spans="1:10">
      <c r="A15" s="82"/>
      <c r="B15" s="134" t="s">
        <v>273</v>
      </c>
      <c r="C15" s="148" t="s">
        <v>270</v>
      </c>
      <c r="D15" s="148" t="s">
        <v>31</v>
      </c>
      <c r="E15" s="142" t="s">
        <v>40</v>
      </c>
      <c r="F15" s="142">
        <v>36</v>
      </c>
      <c r="G15" s="142">
        <v>60.1</v>
      </c>
      <c r="H15" s="142" t="s">
        <v>274</v>
      </c>
      <c r="I15" s="310" t="str">
        <f>VLOOKUP(H15,Sheet4!A:B,2,)</f>
        <v>Gloss Black Polisph Face</v>
      </c>
      <c r="J15" s="42">
        <f>8-4+4-4-4</f>
        <v>0</v>
      </c>
    </row>
    <row r="16" s="6" customFormat="1" ht="55" customHeight="1" spans="1:10">
      <c r="A16" s="84"/>
      <c r="B16" s="155" t="s">
        <v>275</v>
      </c>
      <c r="C16" s="156" t="s">
        <v>270</v>
      </c>
      <c r="D16" s="156" t="s">
        <v>56</v>
      </c>
      <c r="E16" s="146" t="s">
        <v>40</v>
      </c>
      <c r="F16" s="146">
        <v>36</v>
      </c>
      <c r="G16" s="146">
        <v>60.1</v>
      </c>
      <c r="H16" s="146" t="s">
        <v>274</v>
      </c>
      <c r="I16" s="311" t="str">
        <f>VLOOKUP(H16,Sheet4!A:B,2,)</f>
        <v>Gloss Black Polisph Face</v>
      </c>
      <c r="J16" s="43">
        <f>4-4</f>
        <v>0</v>
      </c>
    </row>
    <row r="17" s="6" customFormat="1" ht="58" customHeight="1" spans="1:10">
      <c r="A17" s="82"/>
      <c r="B17" s="134" t="s">
        <v>276</v>
      </c>
      <c r="C17" s="359" t="s">
        <v>277</v>
      </c>
      <c r="D17" s="327" t="s">
        <v>186</v>
      </c>
      <c r="E17" s="326" t="s">
        <v>40</v>
      </c>
      <c r="F17" s="326">
        <v>35</v>
      </c>
      <c r="G17" s="326">
        <v>73.1</v>
      </c>
      <c r="H17" s="326" t="s">
        <v>53</v>
      </c>
      <c r="I17" s="328" t="str">
        <f>VLOOKUP(H17,Sheet4!A:B,2,)</f>
        <v>polish</v>
      </c>
      <c r="J17" s="329">
        <f>4+8+16-4-4-4-4-4-4-4</f>
        <v>0</v>
      </c>
    </row>
    <row r="18" s="6" customFormat="1" ht="58" customHeight="1" spans="1:10">
      <c r="A18" s="124"/>
      <c r="B18" s="318" t="s">
        <v>278</v>
      </c>
      <c r="C18" s="330" t="s">
        <v>277</v>
      </c>
      <c r="D18" s="322" t="s">
        <v>29</v>
      </c>
      <c r="E18" s="321" t="s">
        <v>40</v>
      </c>
      <c r="F18" s="321">
        <v>35</v>
      </c>
      <c r="G18" s="321">
        <v>73.1</v>
      </c>
      <c r="H18" s="321" t="s">
        <v>53</v>
      </c>
      <c r="I18" s="323" t="str">
        <f>VLOOKUP(H18,Sheet4!A:B,2,)</f>
        <v>polish</v>
      </c>
      <c r="J18" s="324">
        <f>16+4-4-16+16-4+4</f>
        <v>16</v>
      </c>
    </row>
    <row r="19" s="6" customFormat="1" ht="29" customHeight="1" spans="1:10">
      <c r="A19" s="82"/>
      <c r="B19" s="134" t="s">
        <v>279</v>
      </c>
      <c r="C19" s="359" t="s">
        <v>277</v>
      </c>
      <c r="D19" s="327" t="s">
        <v>186</v>
      </c>
      <c r="E19" s="326" t="s">
        <v>40</v>
      </c>
      <c r="F19" s="326">
        <v>35</v>
      </c>
      <c r="G19" s="326">
        <v>73.1</v>
      </c>
      <c r="H19" s="326" t="s">
        <v>21</v>
      </c>
      <c r="I19" s="328" t="s">
        <v>280</v>
      </c>
      <c r="J19" s="329">
        <f>16-4-4-4-4+3</f>
        <v>3</v>
      </c>
    </row>
    <row r="20" s="6" customFormat="1" ht="29" customHeight="1" spans="1:10">
      <c r="A20" s="82"/>
      <c r="B20" s="134" t="s">
        <v>281</v>
      </c>
      <c r="C20" s="359" t="s">
        <v>277</v>
      </c>
      <c r="D20" s="327" t="s">
        <v>44</v>
      </c>
      <c r="E20" s="326" t="s">
        <v>40</v>
      </c>
      <c r="F20" s="326">
        <v>35</v>
      </c>
      <c r="G20" s="326">
        <v>73.1</v>
      </c>
      <c r="H20" s="326" t="s">
        <v>21</v>
      </c>
      <c r="I20" s="328" t="s">
        <v>280</v>
      </c>
      <c r="J20" s="329">
        <f>16+4-4</f>
        <v>16</v>
      </c>
    </row>
    <row r="21" s="6" customFormat="1" ht="29" customHeight="1" spans="1:10">
      <c r="A21" s="82"/>
      <c r="B21" s="134" t="s">
        <v>282</v>
      </c>
      <c r="C21" s="148" t="s">
        <v>283</v>
      </c>
      <c r="D21" s="148" t="s">
        <v>29</v>
      </c>
      <c r="E21" s="142" t="s">
        <v>40</v>
      </c>
      <c r="F21" s="142">
        <v>35</v>
      </c>
      <c r="G21" s="142">
        <v>73.1</v>
      </c>
      <c r="H21" s="142" t="s">
        <v>21</v>
      </c>
      <c r="I21" s="310" t="str">
        <f>VLOOKUP(H21,Sheet4!A:B,2,)</f>
        <v>Black Machine Face</v>
      </c>
      <c r="J21" s="177">
        <f>8-4</f>
        <v>4</v>
      </c>
    </row>
    <row r="22" s="6" customFormat="1" ht="29" customHeight="1" spans="1:10">
      <c r="A22" s="82"/>
      <c r="B22" s="134" t="s">
        <v>284</v>
      </c>
      <c r="C22" s="148" t="s">
        <v>283</v>
      </c>
      <c r="D22" s="148" t="s">
        <v>31</v>
      </c>
      <c r="E22" s="142" t="s">
        <v>40</v>
      </c>
      <c r="F22" s="142">
        <v>36</v>
      </c>
      <c r="G22" s="142">
        <v>73.1</v>
      </c>
      <c r="H22" s="142" t="s">
        <v>21</v>
      </c>
      <c r="I22" s="310" t="str">
        <f>VLOOKUP(H22,Sheet4!A:B,2,)</f>
        <v>Black Machine Face</v>
      </c>
      <c r="J22" s="42">
        <f>8-4+4-4-4+12-4-4-1+1-4+12-4-4-4+8-4</f>
        <v>4</v>
      </c>
    </row>
    <row r="23" s="6" customFormat="1" ht="29" customHeight="1" spans="1:10">
      <c r="A23" s="84"/>
      <c r="B23" s="155" t="s">
        <v>285</v>
      </c>
      <c r="C23" s="156" t="s">
        <v>283</v>
      </c>
      <c r="D23" s="156" t="s">
        <v>56</v>
      </c>
      <c r="E23" s="146" t="s">
        <v>40</v>
      </c>
      <c r="F23" s="146">
        <v>38</v>
      </c>
      <c r="G23" s="146">
        <v>73.1</v>
      </c>
      <c r="H23" s="146" t="s">
        <v>21</v>
      </c>
      <c r="I23" s="311" t="str">
        <f>VLOOKUP(H23,Sheet4!A:B,2,)</f>
        <v>Black Machine Face</v>
      </c>
      <c r="J23" s="43">
        <v>8</v>
      </c>
    </row>
    <row r="24" s="6" customFormat="1" ht="28" customHeight="1" spans="1:10">
      <c r="A24" s="86"/>
      <c r="B24" s="286" t="s">
        <v>286</v>
      </c>
      <c r="C24" s="345" t="s">
        <v>287</v>
      </c>
      <c r="D24" s="345" t="s">
        <v>29</v>
      </c>
      <c r="E24" s="287" t="s">
        <v>40</v>
      </c>
      <c r="F24" s="287">
        <v>35</v>
      </c>
      <c r="G24" s="287">
        <v>64.5</v>
      </c>
      <c r="H24" s="287" t="s">
        <v>288</v>
      </c>
      <c r="I24" s="360" t="str">
        <f>VLOOKUP(H24,Sheet4!A:B,2,)</f>
        <v>matte bronze</v>
      </c>
      <c r="J24" s="55">
        <f>10-2-2-2+6-2+2-2-2-2</f>
        <v>4</v>
      </c>
    </row>
    <row r="25" s="6" customFormat="1" ht="28" customHeight="1" spans="1:10">
      <c r="A25" s="82"/>
      <c r="B25" s="134" t="s">
        <v>289</v>
      </c>
      <c r="C25" s="148" t="s">
        <v>287</v>
      </c>
      <c r="D25" s="148" t="s">
        <v>19</v>
      </c>
      <c r="E25" s="142" t="s">
        <v>40</v>
      </c>
      <c r="F25" s="142">
        <v>40</v>
      </c>
      <c r="G25" s="142">
        <v>64.5</v>
      </c>
      <c r="H25" s="142" t="s">
        <v>288</v>
      </c>
      <c r="I25" s="310" t="str">
        <f>VLOOKUP(H25,Sheet4!A:B,2,)</f>
        <v>matte bronze</v>
      </c>
      <c r="J25" s="42">
        <f>6-2-2-2+6-2+2-2-2-2</f>
        <v>0</v>
      </c>
    </row>
    <row r="26" s="6" customFormat="1" ht="28" customHeight="1" spans="1:10">
      <c r="A26" s="82"/>
      <c r="B26" s="134" t="s">
        <v>290</v>
      </c>
      <c r="C26" s="148" t="s">
        <v>287</v>
      </c>
      <c r="D26" s="148" t="s">
        <v>101</v>
      </c>
      <c r="E26" s="142" t="s">
        <v>40</v>
      </c>
      <c r="F26" s="142">
        <v>35</v>
      </c>
      <c r="G26" s="142">
        <v>64.5</v>
      </c>
      <c r="H26" s="142" t="s">
        <v>288</v>
      </c>
      <c r="I26" s="310" t="str">
        <f>VLOOKUP(H26,Sheet4!A:B,2,)</f>
        <v>matte bronze</v>
      </c>
      <c r="J26" s="42">
        <f>6-2-2-2</f>
        <v>0</v>
      </c>
    </row>
    <row r="27" s="6" customFormat="1" ht="28" customHeight="1" spans="1:10">
      <c r="A27" s="84"/>
      <c r="B27" s="155" t="s">
        <v>291</v>
      </c>
      <c r="C27" s="156" t="s">
        <v>287</v>
      </c>
      <c r="D27" s="146" t="s">
        <v>31</v>
      </c>
      <c r="E27" s="146" t="s">
        <v>40</v>
      </c>
      <c r="F27" s="146">
        <v>40</v>
      </c>
      <c r="G27" s="146">
        <v>64.5</v>
      </c>
      <c r="H27" s="156" t="s">
        <v>288</v>
      </c>
      <c r="I27" s="317" t="str">
        <f>VLOOKUP(H27,Sheet4!A:B,2,)</f>
        <v>matte bronze</v>
      </c>
      <c r="J27" s="43">
        <f>6-2-2-2</f>
        <v>0</v>
      </c>
    </row>
    <row r="28" s="6" customFormat="1" ht="39" customHeight="1" spans="1:10">
      <c r="A28" s="82"/>
      <c r="B28" s="134" t="s">
        <v>292</v>
      </c>
      <c r="C28" s="148" t="s">
        <v>293</v>
      </c>
      <c r="D28" s="148" t="s">
        <v>23</v>
      </c>
      <c r="E28" s="142" t="s">
        <v>40</v>
      </c>
      <c r="F28" s="142">
        <v>35</v>
      </c>
      <c r="G28" s="142">
        <v>64.5</v>
      </c>
      <c r="H28" s="142" t="s">
        <v>16</v>
      </c>
      <c r="I28" s="310" t="str">
        <f>VLOOKUP(H28,Sheet4!A:B,2,)</f>
        <v>GLOSS BLACK</v>
      </c>
      <c r="J28" s="42">
        <f>16-4-1-4+1-4+12-4-4</f>
        <v>8</v>
      </c>
    </row>
    <row r="29" s="6" customFormat="1" ht="39" customHeight="1" spans="1:10">
      <c r="A29" s="82"/>
      <c r="B29" s="134" t="s">
        <v>294</v>
      </c>
      <c r="C29" s="148" t="s">
        <v>293</v>
      </c>
      <c r="D29" s="148" t="s">
        <v>29</v>
      </c>
      <c r="E29" s="142" t="s">
        <v>40</v>
      </c>
      <c r="F29" s="142">
        <v>35</v>
      </c>
      <c r="G29" s="142">
        <v>64.5</v>
      </c>
      <c r="H29" s="142" t="s">
        <v>288</v>
      </c>
      <c r="I29" s="310" t="str">
        <f>VLOOKUP(H29,Sheet4!A:B,2,)</f>
        <v>matte bronze</v>
      </c>
      <c r="J29" s="42">
        <f>2-2+2+4-4+8</f>
        <v>10</v>
      </c>
    </row>
    <row r="30" s="6" customFormat="1" ht="39" customHeight="1" spans="1:10">
      <c r="A30" s="82"/>
      <c r="B30" s="134" t="s">
        <v>295</v>
      </c>
      <c r="C30" s="148" t="s">
        <v>293</v>
      </c>
      <c r="D30" s="148" t="s">
        <v>19</v>
      </c>
      <c r="E30" s="142" t="s">
        <v>40</v>
      </c>
      <c r="F30" s="142">
        <v>40</v>
      </c>
      <c r="G30" s="142">
        <v>64.5</v>
      </c>
      <c r="H30" s="142" t="s">
        <v>288</v>
      </c>
      <c r="I30" s="310" t="str">
        <f>VLOOKUP(H30,Sheet4!A:B,2,)</f>
        <v>matte bronze</v>
      </c>
      <c r="J30" s="42">
        <f>2-2+2+4</f>
        <v>6</v>
      </c>
    </row>
    <row r="31" s="6" customFormat="1" ht="39" customHeight="1" spans="1:10">
      <c r="A31" s="82"/>
      <c r="B31" s="134" t="s">
        <v>296</v>
      </c>
      <c r="C31" s="148" t="s">
        <v>293</v>
      </c>
      <c r="D31" s="148" t="s">
        <v>101</v>
      </c>
      <c r="E31" s="142" t="s">
        <v>40</v>
      </c>
      <c r="F31" s="142">
        <v>35</v>
      </c>
      <c r="G31" s="142">
        <v>64.5</v>
      </c>
      <c r="H31" s="142" t="s">
        <v>16</v>
      </c>
      <c r="I31" s="310" t="str">
        <f>VLOOKUP(H31,Sheet4!A:B,2,)</f>
        <v>GLOSS BLACK</v>
      </c>
      <c r="J31" s="42">
        <v>0</v>
      </c>
    </row>
    <row r="32" s="6" customFormat="1" ht="39" customHeight="1" spans="1:10">
      <c r="A32" s="124"/>
      <c r="B32" s="318" t="s">
        <v>297</v>
      </c>
      <c r="C32" s="163" t="s">
        <v>293</v>
      </c>
      <c r="D32" s="163" t="s">
        <v>31</v>
      </c>
      <c r="E32" s="319" t="s">
        <v>40</v>
      </c>
      <c r="F32" s="319">
        <v>40</v>
      </c>
      <c r="G32" s="319">
        <v>64.5</v>
      </c>
      <c r="H32" s="319" t="s">
        <v>16</v>
      </c>
      <c r="I32" s="361" t="str">
        <f>VLOOKUP(H32,Sheet4!A:B,2,)</f>
        <v>GLOSS BLACK</v>
      </c>
      <c r="J32" s="51">
        <v>0</v>
      </c>
    </row>
    <row r="33" s="6" customFormat="1" ht="32" customHeight="1" spans="1:10">
      <c r="A33" s="82"/>
      <c r="B33" s="134" t="s">
        <v>298</v>
      </c>
      <c r="C33" s="148" t="s">
        <v>293</v>
      </c>
      <c r="D33" s="148" t="s">
        <v>29</v>
      </c>
      <c r="E33" s="142" t="s">
        <v>40</v>
      </c>
      <c r="F33" s="142">
        <v>35</v>
      </c>
      <c r="G33" s="142">
        <v>64.5</v>
      </c>
      <c r="H33" s="142" t="s">
        <v>16</v>
      </c>
      <c r="I33" s="310" t="str">
        <f>VLOOKUP(H33,Sheet4!A:B,2,)</f>
        <v>GLOSS BLACK</v>
      </c>
      <c r="J33" s="42">
        <f>10-4-2-2</f>
        <v>2</v>
      </c>
    </row>
    <row r="34" s="6" customFormat="1" ht="32" customHeight="1" spans="1:10">
      <c r="A34" s="82"/>
      <c r="B34" s="134" t="s">
        <v>299</v>
      </c>
      <c r="C34" s="148" t="s">
        <v>293</v>
      </c>
      <c r="D34" s="142" t="s">
        <v>19</v>
      </c>
      <c r="E34" s="142" t="s">
        <v>40</v>
      </c>
      <c r="F34" s="142">
        <v>40</v>
      </c>
      <c r="G34" s="142">
        <v>64.5</v>
      </c>
      <c r="H34" s="148" t="s">
        <v>16</v>
      </c>
      <c r="I34" s="331" t="str">
        <f>VLOOKUP(H34,Sheet4!A:B,2,)</f>
        <v>GLOSS BLACK</v>
      </c>
      <c r="J34" s="42">
        <f>6-2-2</f>
        <v>2</v>
      </c>
    </row>
    <row r="35" s="6" customFormat="1" ht="32" customHeight="1" spans="1:10">
      <c r="A35" s="82"/>
      <c r="B35" s="134" t="s">
        <v>300</v>
      </c>
      <c r="C35" s="148" t="s">
        <v>293</v>
      </c>
      <c r="D35" s="148" t="s">
        <v>101</v>
      </c>
      <c r="E35" s="142" t="s">
        <v>40</v>
      </c>
      <c r="F35" s="142">
        <v>35</v>
      </c>
      <c r="G35" s="142">
        <v>64.5</v>
      </c>
      <c r="H35" s="142" t="s">
        <v>16</v>
      </c>
      <c r="I35" s="310" t="str">
        <f>VLOOKUP(H35,Sheet4!A:B,2,)</f>
        <v>GLOSS BLACK</v>
      </c>
      <c r="J35" s="42">
        <f>6-2+2</f>
        <v>6</v>
      </c>
    </row>
    <row r="36" s="6" customFormat="1" ht="32" customHeight="1" spans="1:10">
      <c r="A36" s="84"/>
      <c r="B36" s="155" t="s">
        <v>301</v>
      </c>
      <c r="C36" s="156" t="s">
        <v>293</v>
      </c>
      <c r="D36" s="146" t="s">
        <v>31</v>
      </c>
      <c r="E36" s="146" t="s">
        <v>40</v>
      </c>
      <c r="F36" s="146">
        <v>40</v>
      </c>
      <c r="G36" s="146">
        <v>64.5</v>
      </c>
      <c r="H36" s="156" t="s">
        <v>16</v>
      </c>
      <c r="I36" s="317" t="str">
        <f>VLOOKUP(H36,Sheet4!A:B,2,)</f>
        <v>GLOSS BLACK</v>
      </c>
      <c r="J36" s="43">
        <f>6-2+2</f>
        <v>6</v>
      </c>
    </row>
    <row r="37" s="6" customFormat="1" ht="104" customHeight="1" spans="1:10">
      <c r="A37" s="126"/>
      <c r="B37" s="313" t="s">
        <v>302</v>
      </c>
      <c r="C37" s="314" t="s">
        <v>293</v>
      </c>
      <c r="D37" s="315" t="s">
        <v>23</v>
      </c>
      <c r="E37" s="315" t="s">
        <v>40</v>
      </c>
      <c r="F37" s="315">
        <v>35</v>
      </c>
      <c r="G37" s="315">
        <v>64.5</v>
      </c>
      <c r="H37" s="314" t="s">
        <v>21</v>
      </c>
      <c r="I37" s="362" t="str">
        <f>VLOOKUP(H37,Sheet4!A:B,2,)</f>
        <v>Black Machine Face</v>
      </c>
      <c r="J37" s="45">
        <v>0</v>
      </c>
    </row>
    <row r="38" s="6" customFormat="1" ht="37" customHeight="1" spans="1:10">
      <c r="A38" s="82"/>
      <c r="B38" s="134" t="s">
        <v>303</v>
      </c>
      <c r="C38" s="148" t="s">
        <v>293</v>
      </c>
      <c r="D38" s="148" t="s">
        <v>23</v>
      </c>
      <c r="E38" s="142" t="s">
        <v>40</v>
      </c>
      <c r="F38" s="142">
        <v>35</v>
      </c>
      <c r="G38" s="142">
        <v>64.5</v>
      </c>
      <c r="H38" s="142" t="s">
        <v>268</v>
      </c>
      <c r="I38" s="310" t="str">
        <f>VLOOKUP(H38,Sheet4!A:B,2,)</f>
        <v>BLACK+WHITE</v>
      </c>
      <c r="J38" s="42">
        <f>8-8+4-4+4+8-4-1-4-3</f>
        <v>0</v>
      </c>
    </row>
    <row r="39" s="6" customFormat="1" ht="37" customHeight="1" spans="1:10">
      <c r="A39" s="82"/>
      <c r="B39" s="134" t="s">
        <v>304</v>
      </c>
      <c r="C39" s="148" t="s">
        <v>293</v>
      </c>
      <c r="D39" s="142" t="s">
        <v>29</v>
      </c>
      <c r="E39" s="142" t="s">
        <v>40</v>
      </c>
      <c r="F39" s="142">
        <v>35</v>
      </c>
      <c r="G39" s="142">
        <v>64.5</v>
      </c>
      <c r="H39" s="148" t="s">
        <v>268</v>
      </c>
      <c r="I39" s="331" t="str">
        <f>VLOOKUP(H39,Sheet4!A:B,2,)</f>
        <v>BLACK+WHITE</v>
      </c>
      <c r="J39" s="42">
        <f>2+2-4+2+4-4+8+4-2-2-4-2</f>
        <v>4</v>
      </c>
    </row>
    <row r="40" s="6" customFormat="1" ht="37" customHeight="1" spans="1:10">
      <c r="A40" s="82"/>
      <c r="B40" s="134" t="s">
        <v>305</v>
      </c>
      <c r="C40" s="148" t="s">
        <v>293</v>
      </c>
      <c r="D40" s="142" t="s">
        <v>19</v>
      </c>
      <c r="E40" s="142" t="s">
        <v>40</v>
      </c>
      <c r="F40" s="142">
        <v>40</v>
      </c>
      <c r="G40" s="142">
        <v>64.5</v>
      </c>
      <c r="H40" s="148" t="s">
        <v>268</v>
      </c>
      <c r="I40" s="331" t="str">
        <f>VLOOKUP(H40,Sheet4!A:B,2,)</f>
        <v>BLACK+WHITE</v>
      </c>
      <c r="J40" s="42">
        <f>2+2-4+2+4-2-2-2</f>
        <v>0</v>
      </c>
    </row>
    <row r="41" s="6" customFormat="1" ht="36" customHeight="1" spans="1:10">
      <c r="A41" s="86"/>
      <c r="B41" s="286" t="s">
        <v>306</v>
      </c>
      <c r="C41" s="345" t="s">
        <v>293</v>
      </c>
      <c r="D41" s="287" t="s">
        <v>23</v>
      </c>
      <c r="E41" s="287" t="s">
        <v>40</v>
      </c>
      <c r="F41" s="287">
        <v>35</v>
      </c>
      <c r="G41" s="287">
        <v>64.5</v>
      </c>
      <c r="H41" s="345" t="s">
        <v>21</v>
      </c>
      <c r="I41" s="346" t="str">
        <f>VLOOKUP(H41,Sheet4!A:B,2,)</f>
        <v>Black Machine Face</v>
      </c>
      <c r="J41" s="55">
        <f>4-4+4-4+12-4+20-4-4-4-4-4-4-4+20-4-4-4-4-4+4-4+4-4+4-4</f>
        <v>0</v>
      </c>
    </row>
    <row r="42" s="6" customFormat="1" ht="36" customHeight="1" spans="1:10">
      <c r="A42" s="82"/>
      <c r="B42" s="134" t="s">
        <v>307</v>
      </c>
      <c r="C42" s="148" t="s">
        <v>293</v>
      </c>
      <c r="D42" s="142" t="s">
        <v>29</v>
      </c>
      <c r="E42" s="142" t="s">
        <v>40</v>
      </c>
      <c r="F42" s="142">
        <v>35</v>
      </c>
      <c r="G42" s="142">
        <v>64.5</v>
      </c>
      <c r="H42" s="148" t="s">
        <v>21</v>
      </c>
      <c r="I42" s="331" t="str">
        <f>VLOOKUP(H42,Sheet4!A:B,2,)</f>
        <v>Black Machine Face</v>
      </c>
      <c r="J42" s="42">
        <f>2-2+6-2-4+2+4+8-4</f>
        <v>10</v>
      </c>
    </row>
    <row r="43" s="6" customFormat="1" ht="36" customHeight="1" spans="1:10">
      <c r="A43" s="84"/>
      <c r="B43" s="155" t="s">
        <v>308</v>
      </c>
      <c r="C43" s="156" t="s">
        <v>293</v>
      </c>
      <c r="D43" s="146" t="s">
        <v>19</v>
      </c>
      <c r="E43" s="146" t="s">
        <v>40</v>
      </c>
      <c r="F43" s="146">
        <v>40</v>
      </c>
      <c r="G43" s="146">
        <v>64.5</v>
      </c>
      <c r="H43" s="156" t="s">
        <v>21</v>
      </c>
      <c r="I43" s="317" t="str">
        <f>VLOOKUP(H43,Sheet4!A:B,2,)</f>
        <v>Black Machine Face</v>
      </c>
      <c r="J43" s="43">
        <f>2-2+6-2+2</f>
        <v>6</v>
      </c>
    </row>
    <row r="44" s="6" customFormat="1" ht="33" customHeight="1" spans="1:10">
      <c r="A44" s="82"/>
      <c r="B44" s="134" t="s">
        <v>309</v>
      </c>
      <c r="C44" s="148" t="s">
        <v>310</v>
      </c>
      <c r="D44" s="142" t="s">
        <v>23</v>
      </c>
      <c r="E44" s="142" t="s">
        <v>40</v>
      </c>
      <c r="F44" s="142">
        <v>32</v>
      </c>
      <c r="G44" s="142">
        <v>64.5</v>
      </c>
      <c r="H44" s="148" t="s">
        <v>26</v>
      </c>
      <c r="I44" s="331" t="s">
        <v>311</v>
      </c>
      <c r="J44" s="42">
        <f>4-4+8-4</f>
        <v>4</v>
      </c>
    </row>
    <row r="45" s="6" customFormat="1" ht="33" customHeight="1" spans="1:10">
      <c r="A45" s="82"/>
      <c r="B45" s="134" t="s">
        <v>312</v>
      </c>
      <c r="C45" s="148" t="s">
        <v>310</v>
      </c>
      <c r="D45" s="142" t="s">
        <v>29</v>
      </c>
      <c r="E45" s="142" t="s">
        <v>40</v>
      </c>
      <c r="F45" s="142">
        <v>35</v>
      </c>
      <c r="G45" s="142">
        <v>64.5</v>
      </c>
      <c r="H45" s="148" t="s">
        <v>26</v>
      </c>
      <c r="I45" s="331" t="s">
        <v>311</v>
      </c>
      <c r="J45" s="42">
        <f>12-2-4</f>
        <v>6</v>
      </c>
    </row>
    <row r="46" s="6" customFormat="1" ht="33" customHeight="1" spans="1:10">
      <c r="A46" s="82"/>
      <c r="B46" s="134" t="s">
        <v>313</v>
      </c>
      <c r="C46" s="148" t="s">
        <v>310</v>
      </c>
      <c r="D46" s="142" t="s">
        <v>19</v>
      </c>
      <c r="E46" s="142" t="s">
        <v>40</v>
      </c>
      <c r="F46" s="142">
        <v>40</v>
      </c>
      <c r="G46" s="142">
        <v>64.5</v>
      </c>
      <c r="H46" s="148" t="s">
        <v>26</v>
      </c>
      <c r="I46" s="331" t="s">
        <v>311</v>
      </c>
      <c r="J46" s="42">
        <f>4-2</f>
        <v>2</v>
      </c>
    </row>
    <row r="47" s="6" customFormat="1" ht="33" customHeight="1" spans="1:10">
      <c r="A47" s="82"/>
      <c r="B47" s="134" t="s">
        <v>314</v>
      </c>
      <c r="C47" s="148" t="s">
        <v>310</v>
      </c>
      <c r="D47" s="142" t="s">
        <v>101</v>
      </c>
      <c r="E47" s="142" t="s">
        <v>40</v>
      </c>
      <c r="F47" s="142">
        <v>33</v>
      </c>
      <c r="G47" s="142">
        <v>64.5</v>
      </c>
      <c r="H47" s="148" t="s">
        <v>26</v>
      </c>
      <c r="I47" s="331" t="s">
        <v>311</v>
      </c>
      <c r="J47" s="42">
        <v>2</v>
      </c>
    </row>
    <row r="48" s="6" customFormat="1" ht="33" customHeight="1" spans="1:10">
      <c r="A48" s="82"/>
      <c r="B48" s="134" t="s">
        <v>315</v>
      </c>
      <c r="C48" s="148" t="s">
        <v>310</v>
      </c>
      <c r="D48" s="142" t="s">
        <v>39</v>
      </c>
      <c r="E48" s="142" t="s">
        <v>40</v>
      </c>
      <c r="F48" s="142">
        <v>40</v>
      </c>
      <c r="G48" s="142">
        <v>64.5</v>
      </c>
      <c r="H48" s="148" t="s">
        <v>26</v>
      </c>
      <c r="I48" s="331" t="s">
        <v>311</v>
      </c>
      <c r="J48" s="42">
        <v>2</v>
      </c>
    </row>
    <row r="49" s="6" customFormat="1" ht="36" customHeight="1" spans="1:10">
      <c r="A49" s="339"/>
      <c r="B49" s="340" t="s">
        <v>316</v>
      </c>
      <c r="C49" s="342" t="s">
        <v>310</v>
      </c>
      <c r="D49" s="341" t="s">
        <v>29</v>
      </c>
      <c r="E49" s="341" t="s">
        <v>40</v>
      </c>
      <c r="F49" s="341">
        <v>35</v>
      </c>
      <c r="G49" s="341">
        <v>64.5</v>
      </c>
      <c r="H49" s="342" t="s">
        <v>317</v>
      </c>
      <c r="I49" s="343" t="s">
        <v>311</v>
      </c>
      <c r="J49" s="344">
        <f>12-4-4</f>
        <v>4</v>
      </c>
    </row>
    <row r="50" s="6" customFormat="1" ht="36" customHeight="1" spans="1:10">
      <c r="A50" s="82"/>
      <c r="B50" s="134" t="s">
        <v>318</v>
      </c>
      <c r="C50" s="148" t="s">
        <v>310</v>
      </c>
      <c r="D50" s="148" t="s">
        <v>319</v>
      </c>
      <c r="E50" s="142" t="s">
        <v>40</v>
      </c>
      <c r="F50" s="142">
        <v>33</v>
      </c>
      <c r="G50" s="142">
        <v>64.5</v>
      </c>
      <c r="H50" s="142" t="s">
        <v>317</v>
      </c>
      <c r="I50" s="310" t="str">
        <f>VLOOKUP(H50,Sheet4!A:B,2,)</f>
        <v>MATTE GREY</v>
      </c>
      <c r="J50" s="42">
        <f>4-2-2</f>
        <v>0</v>
      </c>
    </row>
    <row r="51" s="6" customFormat="1" ht="36" customHeight="1" spans="1:10">
      <c r="A51" s="124"/>
      <c r="B51" s="318" t="s">
        <v>320</v>
      </c>
      <c r="C51" s="163" t="s">
        <v>310</v>
      </c>
      <c r="D51" s="163" t="s">
        <v>39</v>
      </c>
      <c r="E51" s="319" t="s">
        <v>40</v>
      </c>
      <c r="F51" s="319">
        <v>40</v>
      </c>
      <c r="G51" s="319">
        <v>64.5</v>
      </c>
      <c r="H51" s="319" t="s">
        <v>317</v>
      </c>
      <c r="I51" s="361" t="str">
        <f>VLOOKUP(H51,Sheet4!A:B,2,)</f>
        <v>MATTE GREY</v>
      </c>
      <c r="J51" s="51">
        <f>4-2-2</f>
        <v>0</v>
      </c>
    </row>
    <row r="52" s="6" customFormat="1" ht="35" customHeight="1" spans="1:10">
      <c r="A52" s="82"/>
      <c r="B52" s="134" t="s">
        <v>321</v>
      </c>
      <c r="C52" s="148" t="s">
        <v>310</v>
      </c>
      <c r="D52" s="142" t="s">
        <v>29</v>
      </c>
      <c r="E52" s="142" t="s">
        <v>40</v>
      </c>
      <c r="F52" s="142">
        <v>35</v>
      </c>
      <c r="G52" s="142">
        <v>64.5</v>
      </c>
      <c r="H52" s="134" t="s">
        <v>322</v>
      </c>
      <c r="I52" s="354" t="str">
        <f>VLOOKUP(H52,Sheet4!A:B,2,)</f>
        <v>Gloss Black Polisph Lip</v>
      </c>
      <c r="J52" s="42">
        <f>4-4+4-4+8-4-4+12-4-4-4+4-4</f>
        <v>0</v>
      </c>
    </row>
    <row r="53" s="6" customFormat="1" ht="35" customHeight="1" spans="1:10">
      <c r="A53" s="82"/>
      <c r="B53" s="134" t="s">
        <v>323</v>
      </c>
      <c r="C53" s="148" t="s">
        <v>310</v>
      </c>
      <c r="D53" s="142" t="s">
        <v>29</v>
      </c>
      <c r="E53" s="142" t="s">
        <v>40</v>
      </c>
      <c r="F53" s="142">
        <v>35</v>
      </c>
      <c r="G53" s="142">
        <v>64.5</v>
      </c>
      <c r="H53" s="134" t="s">
        <v>324</v>
      </c>
      <c r="I53" s="354" t="str">
        <f>VLOOKUP(H53,Sheet4!A:B,2,)</f>
        <v>GREY Polisph Lip</v>
      </c>
      <c r="J53" s="42">
        <f>8-4+4-4-4</f>
        <v>0</v>
      </c>
    </row>
    <row r="54" s="6" customFormat="1" ht="35" customHeight="1" spans="1:10">
      <c r="A54" s="82"/>
      <c r="B54" s="134" t="s">
        <v>325</v>
      </c>
      <c r="C54" s="148" t="s">
        <v>310</v>
      </c>
      <c r="D54" s="142" t="s">
        <v>101</v>
      </c>
      <c r="E54" s="142" t="s">
        <v>40</v>
      </c>
      <c r="F54" s="142">
        <v>33</v>
      </c>
      <c r="G54" s="142">
        <v>64.5</v>
      </c>
      <c r="H54" s="134" t="s">
        <v>322</v>
      </c>
      <c r="I54" s="354" t="str">
        <f>VLOOKUP(H54,Sheet4!A:B,2,)</f>
        <v>Gloss Black Polisph Lip</v>
      </c>
      <c r="J54" s="42">
        <v>0</v>
      </c>
    </row>
    <row r="55" s="6" customFormat="1" ht="35" customHeight="1" spans="1:10">
      <c r="A55" s="82"/>
      <c r="B55" s="134" t="s">
        <v>326</v>
      </c>
      <c r="C55" s="148" t="s">
        <v>310</v>
      </c>
      <c r="D55" s="142" t="s">
        <v>39</v>
      </c>
      <c r="E55" s="142" t="s">
        <v>40</v>
      </c>
      <c r="F55" s="142">
        <v>40</v>
      </c>
      <c r="G55" s="142">
        <v>64.5</v>
      </c>
      <c r="H55" s="134" t="s">
        <v>322</v>
      </c>
      <c r="I55" s="354" t="str">
        <f>VLOOKUP(H55,Sheet4!A:B,2,)</f>
        <v>Gloss Black Polisph Lip</v>
      </c>
      <c r="J55" s="42">
        <v>0</v>
      </c>
    </row>
    <row r="56" s="6" customFormat="1" ht="35" customHeight="1" spans="1:10">
      <c r="A56" s="82"/>
      <c r="B56" s="134" t="s">
        <v>327</v>
      </c>
      <c r="C56" s="148" t="s">
        <v>310</v>
      </c>
      <c r="D56" s="142" t="s">
        <v>101</v>
      </c>
      <c r="E56" s="142" t="s">
        <v>40</v>
      </c>
      <c r="F56" s="142">
        <v>33</v>
      </c>
      <c r="G56" s="142">
        <v>64.5</v>
      </c>
      <c r="H56" s="134" t="s">
        <v>324</v>
      </c>
      <c r="I56" s="354" t="str">
        <f>VLOOKUP(H56,Sheet4!A:B,2,)</f>
        <v>GREY Polisph Lip</v>
      </c>
      <c r="J56" s="42">
        <f>2+2</f>
        <v>4</v>
      </c>
    </row>
    <row r="57" s="6" customFormat="1" ht="35" customHeight="1" spans="1:10">
      <c r="A57" s="82"/>
      <c r="B57" s="134" t="s">
        <v>328</v>
      </c>
      <c r="C57" s="148" t="s">
        <v>310</v>
      </c>
      <c r="D57" s="142" t="s">
        <v>39</v>
      </c>
      <c r="E57" s="142" t="s">
        <v>40</v>
      </c>
      <c r="F57" s="142">
        <v>40</v>
      </c>
      <c r="G57" s="142">
        <v>64.5</v>
      </c>
      <c r="H57" s="134" t="s">
        <v>324</v>
      </c>
      <c r="I57" s="354" t="str">
        <f>VLOOKUP(H57,Sheet4!A:B,2,)</f>
        <v>GREY Polisph Lip</v>
      </c>
      <c r="J57" s="42">
        <f>2+2</f>
        <v>4</v>
      </c>
    </row>
    <row r="58" s="6" customFormat="1" ht="36" customHeight="1" spans="1:10">
      <c r="A58" s="86"/>
      <c r="B58" s="286" t="s">
        <v>329</v>
      </c>
      <c r="C58" s="345" t="s">
        <v>310</v>
      </c>
      <c r="D58" s="287" t="s">
        <v>29</v>
      </c>
      <c r="E58" s="287" t="s">
        <v>40</v>
      </c>
      <c r="F58" s="287">
        <v>35</v>
      </c>
      <c r="G58" s="287">
        <v>64.5</v>
      </c>
      <c r="H58" s="345" t="s">
        <v>330</v>
      </c>
      <c r="I58" s="346" t="str">
        <f>VLOOKUP(H58,Sheet4!A:B,2,)</f>
        <v>Black+Polisph</v>
      </c>
      <c r="J58" s="55">
        <f>8-4-4+8+4-4</f>
        <v>8</v>
      </c>
    </row>
    <row r="59" s="6" customFormat="1" ht="36" customHeight="1" spans="1:10">
      <c r="A59" s="82"/>
      <c r="B59" s="134" t="s">
        <v>331</v>
      </c>
      <c r="C59" s="148" t="s">
        <v>310</v>
      </c>
      <c r="D59" s="142" t="s">
        <v>101</v>
      </c>
      <c r="E59" s="142" t="s">
        <v>40</v>
      </c>
      <c r="F59" s="142">
        <v>33</v>
      </c>
      <c r="G59" s="142">
        <v>64.5</v>
      </c>
      <c r="H59" s="148" t="s">
        <v>330</v>
      </c>
      <c r="I59" s="331" t="str">
        <f>VLOOKUP(H59,Sheet4!A:B,2,)</f>
        <v>Black+Polisph</v>
      </c>
      <c r="J59" s="42">
        <f>2-2+4+6-2-2+2-2+2-2</f>
        <v>6</v>
      </c>
    </row>
    <row r="60" s="6" customFormat="1" ht="36" customHeight="1" spans="1:10">
      <c r="A60" s="124"/>
      <c r="B60" s="318" t="s">
        <v>332</v>
      </c>
      <c r="C60" s="163" t="s">
        <v>310</v>
      </c>
      <c r="D60" s="319" t="s">
        <v>39</v>
      </c>
      <c r="E60" s="319" t="s">
        <v>40</v>
      </c>
      <c r="F60" s="319">
        <v>40</v>
      </c>
      <c r="G60" s="319">
        <v>64.5</v>
      </c>
      <c r="H60" s="163" t="s">
        <v>330</v>
      </c>
      <c r="I60" s="338" t="str">
        <f>VLOOKUP(H60,Sheet4!A:B,2,)</f>
        <v>Black+Polisph</v>
      </c>
      <c r="J60" s="51">
        <f>2-2+4+6-2-2+2-2+2-2</f>
        <v>6</v>
      </c>
    </row>
    <row r="61" s="6" customFormat="1" ht="111" customHeight="1" spans="1:10">
      <c r="A61" s="84"/>
      <c r="B61" s="155" t="s">
        <v>333</v>
      </c>
      <c r="C61" s="156">
        <v>900</v>
      </c>
      <c r="D61" s="146" t="s">
        <v>31</v>
      </c>
      <c r="E61" s="146" t="s">
        <v>20</v>
      </c>
      <c r="F61" s="146">
        <v>35</v>
      </c>
      <c r="G61" s="146">
        <v>63.4</v>
      </c>
      <c r="H61" s="156" t="s">
        <v>87</v>
      </c>
      <c r="I61" s="317" t="str">
        <f>VLOOKUP(H61,Sheet4!A:B,2,)</f>
        <v>Gunmetal Machine Face</v>
      </c>
      <c r="J61" s="43">
        <f>8-8+4-4+16-8-4-4+4-4+16-4+20-4-4-4-4-4-4-4-4+16-4-8+4</f>
        <v>8</v>
      </c>
    </row>
    <row r="62" s="6" customFormat="1" ht="111" customHeight="1" spans="1:10">
      <c r="A62" s="84"/>
      <c r="B62" s="155" t="s">
        <v>334</v>
      </c>
      <c r="C62" s="156">
        <v>900</v>
      </c>
      <c r="D62" s="146" t="s">
        <v>31</v>
      </c>
      <c r="E62" s="146" t="s">
        <v>20</v>
      </c>
      <c r="F62" s="146">
        <v>35</v>
      </c>
      <c r="G62" s="146">
        <v>63.4</v>
      </c>
      <c r="H62" s="156" t="s">
        <v>21</v>
      </c>
      <c r="I62" s="317" t="str">
        <f>VLOOKUP(H62,Sheet4!A:B,2,)</f>
        <v>Black Machine Face</v>
      </c>
      <c r="J62" s="43">
        <f>12-4-4-4+16-4-4+4-4-8+4-4+4+8-8</f>
        <v>4</v>
      </c>
    </row>
    <row r="63" s="6" customFormat="1" ht="51" customHeight="1" spans="1:10">
      <c r="A63" s="82"/>
      <c r="B63" s="134" t="s">
        <v>335</v>
      </c>
      <c r="C63" s="148" t="s">
        <v>336</v>
      </c>
      <c r="D63" s="142" t="s">
        <v>31</v>
      </c>
      <c r="E63" s="142" t="s">
        <v>20</v>
      </c>
      <c r="F63" s="142">
        <v>35</v>
      </c>
      <c r="G63" s="142">
        <v>63.4</v>
      </c>
      <c r="H63" s="148" t="s">
        <v>102</v>
      </c>
      <c r="I63" s="331" t="str">
        <f>VLOOKUP(H63,Sheet4!A:B,2,)</f>
        <v>MATTE BLACK</v>
      </c>
      <c r="J63" s="42">
        <f>4-4+8-4-4+8-4+12-8-4</f>
        <v>4</v>
      </c>
    </row>
    <row r="64" s="6" customFormat="1" ht="51" customHeight="1" spans="1:10">
      <c r="A64" s="84"/>
      <c r="B64" s="155" t="s">
        <v>337</v>
      </c>
      <c r="C64" s="156" t="s">
        <v>336</v>
      </c>
      <c r="D64" s="146" t="s">
        <v>34</v>
      </c>
      <c r="E64" s="146" t="s">
        <v>20</v>
      </c>
      <c r="F64" s="145">
        <v>38</v>
      </c>
      <c r="G64" s="146">
        <v>63.4</v>
      </c>
      <c r="H64" s="156" t="s">
        <v>102</v>
      </c>
      <c r="I64" s="317" t="str">
        <f>VLOOKUP(H64,Sheet4!A:B,2,)</f>
        <v>MATTE BLACK</v>
      </c>
      <c r="J64" s="43">
        <f>10-4-4+4-4+2+20-12-4-4-4+12-12</f>
        <v>0</v>
      </c>
    </row>
    <row r="65" s="6" customFormat="1" ht="98" customHeight="1" spans="1:10">
      <c r="A65" s="82"/>
      <c r="B65" s="134" t="s">
        <v>338</v>
      </c>
      <c r="C65" s="134" t="s">
        <v>336</v>
      </c>
      <c r="D65" s="148" t="s">
        <v>34</v>
      </c>
      <c r="E65" s="142" t="s">
        <v>20</v>
      </c>
      <c r="F65" s="142">
        <v>35</v>
      </c>
      <c r="G65" s="141">
        <v>63.4</v>
      </c>
      <c r="H65" s="142" t="s">
        <v>339</v>
      </c>
      <c r="I65" s="346" t="e">
        <f>VLOOKUP(H65,Sheet4!A:B,2,)</f>
        <v>#N/A</v>
      </c>
      <c r="J65" s="55">
        <f>8-4</f>
        <v>4</v>
      </c>
    </row>
    <row r="66" s="6" customFormat="1" ht="111" customHeight="1" spans="1:10">
      <c r="A66" s="86"/>
      <c r="B66" s="286" t="s">
        <v>340</v>
      </c>
      <c r="C66" s="54" t="s">
        <v>336</v>
      </c>
      <c r="D66" s="287" t="s">
        <v>34</v>
      </c>
      <c r="E66" s="287" t="s">
        <v>20</v>
      </c>
      <c r="F66" s="287">
        <v>40</v>
      </c>
      <c r="G66" s="287">
        <v>63.4</v>
      </c>
      <c r="H66" s="345" t="s">
        <v>16</v>
      </c>
      <c r="I66" s="346" t="str">
        <f>VLOOKUP(H66,Sheet4!A:B,2,)</f>
        <v>GLOSS BLACK</v>
      </c>
      <c r="J66" s="55">
        <f>16-8-4-4+8-4+20-4-8-8-4+12-4-8+8-4</f>
        <v>4</v>
      </c>
    </row>
    <row r="67" s="6" customFormat="1" ht="38" customHeight="1" spans="1:10">
      <c r="A67" s="86"/>
      <c r="B67" s="286" t="s">
        <v>341</v>
      </c>
      <c r="C67" s="54" t="s">
        <v>336</v>
      </c>
      <c r="D67" s="287" t="s">
        <v>39</v>
      </c>
      <c r="E67" s="287" t="s">
        <v>20</v>
      </c>
      <c r="F67" s="287">
        <v>35</v>
      </c>
      <c r="G67" s="287">
        <v>63.4</v>
      </c>
      <c r="H67" s="345" t="s">
        <v>26</v>
      </c>
      <c r="I67" s="346" t="str">
        <f>VLOOKUP(H67,Sheet4!A:B,2,)</f>
        <v>Gloss Black Polisph Face</v>
      </c>
      <c r="J67" s="55">
        <f>8+4-4-4-4+8-4</f>
        <v>4</v>
      </c>
    </row>
    <row r="68" s="6" customFormat="1" ht="38" customHeight="1" spans="1:10">
      <c r="A68" s="82"/>
      <c r="B68" s="134" t="s">
        <v>342</v>
      </c>
      <c r="C68" s="20" t="s">
        <v>336</v>
      </c>
      <c r="D68" s="142" t="s">
        <v>343</v>
      </c>
      <c r="E68" s="142" t="s">
        <v>20</v>
      </c>
      <c r="F68" s="142">
        <v>35</v>
      </c>
      <c r="G68" s="142">
        <v>63.4</v>
      </c>
      <c r="H68" s="148" t="s">
        <v>26</v>
      </c>
      <c r="I68" s="331" t="str">
        <f>VLOOKUP(H68,Sheet4!A:B,2,)</f>
        <v>Gloss Black Polisph Face</v>
      </c>
      <c r="J68" s="42">
        <f>12-4-4-4+8-4-4+4-4+12-8+4+4+4-1+1-4-4-8</f>
        <v>0</v>
      </c>
    </row>
    <row r="69" s="6" customFormat="1" ht="38" customHeight="1" spans="1:10">
      <c r="A69" s="84"/>
      <c r="B69" s="155" t="s">
        <v>344</v>
      </c>
      <c r="C69" s="24" t="s">
        <v>336</v>
      </c>
      <c r="D69" s="146" t="s">
        <v>345</v>
      </c>
      <c r="E69" s="146" t="s">
        <v>20</v>
      </c>
      <c r="F69" s="146">
        <v>35</v>
      </c>
      <c r="G69" s="146">
        <v>63.4</v>
      </c>
      <c r="H69" s="156" t="s">
        <v>16</v>
      </c>
      <c r="I69" s="317" t="str">
        <f>VLOOKUP(H69,Sheet4!A:B,2,)</f>
        <v>GLOSS BLACK</v>
      </c>
      <c r="J69" s="43">
        <f>24-4-4-4-4-8+16-8+4-8+8+1+3-4</f>
        <v>12</v>
      </c>
    </row>
    <row r="70" s="6" customFormat="1" ht="111" customHeight="1" spans="1:10">
      <c r="A70" s="84"/>
      <c r="B70" s="155" t="s">
        <v>346</v>
      </c>
      <c r="C70" s="156" t="s">
        <v>336</v>
      </c>
      <c r="D70" s="146" t="s">
        <v>34</v>
      </c>
      <c r="E70" s="146" t="s">
        <v>20</v>
      </c>
      <c r="F70" s="146">
        <v>40</v>
      </c>
      <c r="G70" s="146">
        <v>63.4</v>
      </c>
      <c r="H70" s="156" t="s">
        <v>347</v>
      </c>
      <c r="I70" s="317" t="str">
        <f>VLOOKUP(H70,Sheet4!A:B,2,)</f>
        <v>Polished Laser-Etched</v>
      </c>
      <c r="J70" s="43">
        <f>4-4+4-4+4-4+4</f>
        <v>4</v>
      </c>
    </row>
    <row r="71" s="6" customFormat="1" ht="29" customHeight="1" spans="1:10">
      <c r="A71" s="82"/>
      <c r="B71" s="134" t="s">
        <v>348</v>
      </c>
      <c r="C71" s="424" t="s">
        <v>349</v>
      </c>
      <c r="D71" s="142" t="s">
        <v>23</v>
      </c>
      <c r="E71" s="142" t="s">
        <v>20</v>
      </c>
      <c r="F71" s="142">
        <v>40</v>
      </c>
      <c r="G71" s="142">
        <v>63.4</v>
      </c>
      <c r="H71" s="148" t="s">
        <v>53</v>
      </c>
      <c r="I71" s="331" t="str">
        <f>VLOOKUP(H71,Sheet4!A:B,2,)</f>
        <v>polish</v>
      </c>
      <c r="J71" s="42">
        <f>4+4-4-4+4-4+4-4+4-4</f>
        <v>0</v>
      </c>
    </row>
    <row r="72" s="6" customFormat="1" ht="29" customHeight="1" spans="1:10">
      <c r="A72" s="82"/>
      <c r="B72" s="134" t="s">
        <v>350</v>
      </c>
      <c r="C72" s="424" t="s">
        <v>349</v>
      </c>
      <c r="D72" s="142" t="s">
        <v>23</v>
      </c>
      <c r="E72" s="142" t="s">
        <v>20</v>
      </c>
      <c r="F72" s="142">
        <v>30</v>
      </c>
      <c r="G72" s="142">
        <v>63.4</v>
      </c>
      <c r="H72" s="148" t="s">
        <v>347</v>
      </c>
      <c r="I72" s="331" t="str">
        <f>VLOOKUP(H72,Sheet4!A:B,2,)</f>
        <v>Polished Laser-Etched</v>
      </c>
      <c r="J72" s="42">
        <f>20-4-4-4-4-4</f>
        <v>0</v>
      </c>
    </row>
    <row r="73" s="6" customFormat="1" ht="29" customHeight="1" spans="1:10">
      <c r="A73" s="82"/>
      <c r="B73" s="134" t="s">
        <v>351</v>
      </c>
      <c r="C73" s="424" t="s">
        <v>349</v>
      </c>
      <c r="D73" s="142" t="s">
        <v>19</v>
      </c>
      <c r="E73" s="142" t="s">
        <v>20</v>
      </c>
      <c r="F73" s="142">
        <v>40</v>
      </c>
      <c r="G73" s="142">
        <v>63.4</v>
      </c>
      <c r="H73" s="148" t="s">
        <v>53</v>
      </c>
      <c r="I73" s="331" t="str">
        <f>VLOOKUP(H73,Sheet4!A:B,2,)</f>
        <v>polish</v>
      </c>
      <c r="J73" s="42">
        <v>4</v>
      </c>
    </row>
    <row r="74" s="6" customFormat="1" ht="29" customHeight="1" spans="1:10">
      <c r="A74" s="84"/>
      <c r="B74" s="155" t="s">
        <v>352</v>
      </c>
      <c r="C74" s="425" t="s">
        <v>349</v>
      </c>
      <c r="D74" s="146" t="s">
        <v>19</v>
      </c>
      <c r="E74" s="146" t="s">
        <v>20</v>
      </c>
      <c r="F74" s="146">
        <v>40</v>
      </c>
      <c r="G74" s="146">
        <v>63.4</v>
      </c>
      <c r="H74" s="156" t="s">
        <v>347</v>
      </c>
      <c r="I74" s="317" t="str">
        <f>VLOOKUP(H74,Sheet4!A:B,2,)</f>
        <v>Polished Laser-Etched</v>
      </c>
      <c r="J74" s="43">
        <f>8+4-4</f>
        <v>8</v>
      </c>
    </row>
    <row r="75" s="6" customFormat="1" ht="54" customHeight="1" spans="1:10">
      <c r="A75" s="82"/>
      <c r="B75" s="134" t="s">
        <v>353</v>
      </c>
      <c r="C75" s="424" t="s">
        <v>354</v>
      </c>
      <c r="D75" s="142" t="s">
        <v>31</v>
      </c>
      <c r="E75" s="142" t="s">
        <v>20</v>
      </c>
      <c r="F75" s="142">
        <v>35</v>
      </c>
      <c r="G75" s="142">
        <v>63.4</v>
      </c>
      <c r="H75" s="148" t="s">
        <v>355</v>
      </c>
      <c r="I75" s="331" t="str">
        <f>VLOOKUP(H75,Sheet4!A:B,2,)</f>
        <v>Gloss Black SET WHITE </v>
      </c>
      <c r="J75" s="42">
        <f>8-4+4-4+12-4-4-4-4+8+4-4-4-4+8-4-4+8-4-4+4-4+4-4+4+4-4-4</f>
        <v>0</v>
      </c>
    </row>
    <row r="76" s="6" customFormat="1" ht="54" customHeight="1" spans="1:10">
      <c r="A76" s="84"/>
      <c r="B76" s="155" t="s">
        <v>356</v>
      </c>
      <c r="C76" s="426" t="s">
        <v>354</v>
      </c>
      <c r="D76" s="146" t="s">
        <v>34</v>
      </c>
      <c r="E76" s="146" t="s">
        <v>20</v>
      </c>
      <c r="F76" s="146">
        <v>35</v>
      </c>
      <c r="G76" s="146">
        <v>63.4</v>
      </c>
      <c r="H76" s="156" t="s">
        <v>355</v>
      </c>
      <c r="I76" s="317" t="str">
        <f>VLOOKUP(H76,Sheet4!A:B,2,)</f>
        <v>Gloss Black SET WHITE </v>
      </c>
      <c r="J76" s="43">
        <f>4+16-4-4-4-4</f>
        <v>4</v>
      </c>
    </row>
    <row r="77" s="6" customFormat="1" ht="102" customHeight="1" spans="1:10">
      <c r="A77" s="84"/>
      <c r="B77" s="155" t="s">
        <v>357</v>
      </c>
      <c r="C77" s="426" t="s">
        <v>354</v>
      </c>
      <c r="D77" s="146" t="s">
        <v>34</v>
      </c>
      <c r="E77" s="146" t="s">
        <v>20</v>
      </c>
      <c r="F77" s="146">
        <v>35</v>
      </c>
      <c r="G77" s="146">
        <v>63.4</v>
      </c>
      <c r="H77" s="156" t="s">
        <v>16</v>
      </c>
      <c r="I77" s="317" t="str">
        <f>VLOOKUP(H77,Sheet4!A:B,2,)</f>
        <v>GLOSS BLACK</v>
      </c>
      <c r="J77" s="43">
        <f>12-4-4-4</f>
        <v>0</v>
      </c>
    </row>
    <row r="78" s="6" customFormat="1" ht="64" customHeight="1" spans="1:10">
      <c r="A78" s="82"/>
      <c r="B78" s="134" t="s">
        <v>358</v>
      </c>
      <c r="C78" s="427" t="s">
        <v>354</v>
      </c>
      <c r="D78" s="142" t="s">
        <v>31</v>
      </c>
      <c r="E78" s="142" t="s">
        <v>20</v>
      </c>
      <c r="F78" s="142">
        <v>35</v>
      </c>
      <c r="G78" s="142">
        <v>63.4</v>
      </c>
      <c r="H78" s="148" t="s">
        <v>359</v>
      </c>
      <c r="I78" s="331" t="str">
        <f>VLOOKUP(H78,Sheet4!A:B,2,)</f>
        <v>Brushed Silver</v>
      </c>
      <c r="J78" s="42">
        <f>4-4</f>
        <v>0</v>
      </c>
    </row>
    <row r="79" s="6" customFormat="1" ht="64" customHeight="1" spans="1:10">
      <c r="A79" s="82"/>
      <c r="B79" s="134" t="s">
        <v>360</v>
      </c>
      <c r="C79" s="427" t="s">
        <v>354</v>
      </c>
      <c r="D79" s="142" t="s">
        <v>31</v>
      </c>
      <c r="E79" s="142" t="s">
        <v>20</v>
      </c>
      <c r="F79" s="142">
        <v>35</v>
      </c>
      <c r="G79" s="142">
        <v>63.4</v>
      </c>
      <c r="H79" s="148" t="s">
        <v>16</v>
      </c>
      <c r="I79" s="331"/>
      <c r="J79" s="42">
        <v>8</v>
      </c>
    </row>
    <row r="80" s="6" customFormat="1" ht="64" customHeight="1" spans="1:10">
      <c r="A80" s="84"/>
      <c r="B80" s="155" t="s">
        <v>361</v>
      </c>
      <c r="C80" s="426" t="s">
        <v>354</v>
      </c>
      <c r="D80" s="146" t="s">
        <v>34</v>
      </c>
      <c r="E80" s="146" t="s">
        <v>20</v>
      </c>
      <c r="F80" s="146">
        <v>35</v>
      </c>
      <c r="G80" s="146">
        <v>63.4</v>
      </c>
      <c r="H80" s="156" t="s">
        <v>359</v>
      </c>
      <c r="I80" s="317" t="str">
        <f>VLOOKUP(H80,Sheet4!A:B,2,)</f>
        <v>Brushed Silver</v>
      </c>
      <c r="J80" s="43">
        <f>4+4-4-4</f>
        <v>0</v>
      </c>
    </row>
    <row r="81" s="6" customFormat="1" ht="33" customHeight="1" spans="1:10">
      <c r="A81" s="82"/>
      <c r="B81" s="19" t="s">
        <v>362</v>
      </c>
      <c r="C81" s="427" t="s">
        <v>354</v>
      </c>
      <c r="D81" s="20" t="s">
        <v>31</v>
      </c>
      <c r="E81" s="20" t="s">
        <v>20</v>
      </c>
      <c r="F81" s="20">
        <v>35</v>
      </c>
      <c r="G81" s="20">
        <v>63.4</v>
      </c>
      <c r="H81" s="20" t="s">
        <v>87</v>
      </c>
      <c r="I81" s="66" t="str">
        <f>VLOOKUP(H81,Sheet4!A:B,2,)</f>
        <v>Gunmetal Machine Face</v>
      </c>
      <c r="J81" s="42">
        <f>8-4</f>
        <v>4</v>
      </c>
    </row>
    <row r="82" s="6" customFormat="1" ht="33" customHeight="1" spans="1:10">
      <c r="A82" s="82"/>
      <c r="B82" s="19" t="s">
        <v>363</v>
      </c>
      <c r="C82" s="427" t="s">
        <v>354</v>
      </c>
      <c r="D82" s="20" t="s">
        <v>31</v>
      </c>
      <c r="E82" s="20" t="s">
        <v>20</v>
      </c>
      <c r="F82" s="20">
        <v>35</v>
      </c>
      <c r="G82" s="20">
        <v>63.4</v>
      </c>
      <c r="H82" s="20" t="s">
        <v>364</v>
      </c>
      <c r="I82" s="66" t="e">
        <f>VLOOKUP(H82,Sheet4!A:B,2,)</f>
        <v>#N/A</v>
      </c>
      <c r="J82" s="42">
        <f>8-4-4+4-4+4-4</f>
        <v>0</v>
      </c>
    </row>
    <row r="83" s="6" customFormat="1" ht="33" customHeight="1" spans="1:10">
      <c r="A83" s="82"/>
      <c r="B83" s="19" t="s">
        <v>365</v>
      </c>
      <c r="C83" s="427" t="s">
        <v>354</v>
      </c>
      <c r="D83" s="20" t="s">
        <v>34</v>
      </c>
      <c r="E83" s="20" t="s">
        <v>20</v>
      </c>
      <c r="F83" s="20">
        <v>35</v>
      </c>
      <c r="G83" s="20">
        <v>63.4</v>
      </c>
      <c r="H83" s="20" t="s">
        <v>87</v>
      </c>
      <c r="I83" s="66" t="str">
        <f>VLOOKUP(H83,Sheet4!A:B,2,)</f>
        <v>Gunmetal Machine Face</v>
      </c>
      <c r="J83" s="42">
        <f>4-4</f>
        <v>0</v>
      </c>
    </row>
    <row r="84" s="6" customFormat="1" ht="33" customHeight="1" spans="1:10">
      <c r="A84" s="84"/>
      <c r="B84" s="155" t="s">
        <v>366</v>
      </c>
      <c r="C84" s="426" t="s">
        <v>354</v>
      </c>
      <c r="D84" s="146" t="s">
        <v>34</v>
      </c>
      <c r="E84" s="146" t="s">
        <v>20</v>
      </c>
      <c r="F84" s="146">
        <v>35</v>
      </c>
      <c r="G84" s="146">
        <v>63.4</v>
      </c>
      <c r="H84" s="156" t="s">
        <v>367</v>
      </c>
      <c r="I84" s="317" t="e">
        <f>VLOOKUP(H84,Sheet4!A:B,2,)</f>
        <v>#N/A</v>
      </c>
      <c r="J84" s="43">
        <f>8-4-4+4-4</f>
        <v>0</v>
      </c>
    </row>
    <row r="85" ht="56" customHeight="1" spans="1:10">
      <c r="A85" s="82"/>
      <c r="B85" s="19" t="s">
        <v>368</v>
      </c>
      <c r="C85" s="427" t="s">
        <v>354</v>
      </c>
      <c r="D85" s="20" t="s">
        <v>31</v>
      </c>
      <c r="E85" s="20" t="s">
        <v>20</v>
      </c>
      <c r="F85" s="20">
        <v>35</v>
      </c>
      <c r="G85" s="20">
        <v>63.4</v>
      </c>
      <c r="H85" s="20" t="s">
        <v>330</v>
      </c>
      <c r="I85" s="66" t="str">
        <f>VLOOKUP(H85,Sheet4!A:B,2,)</f>
        <v>Black+Polisph</v>
      </c>
      <c r="J85" s="42">
        <f>8-4-4+1+4-4+4-4+4-4+4-4+2+4-4+6-4-4+4-4+4-4+4-4</f>
        <v>1</v>
      </c>
    </row>
    <row r="86" s="6" customFormat="1" ht="56" customHeight="1" spans="1:10">
      <c r="A86" s="84"/>
      <c r="B86" s="155" t="s">
        <v>369</v>
      </c>
      <c r="C86" s="426" t="s">
        <v>354</v>
      </c>
      <c r="D86" s="146" t="s">
        <v>34</v>
      </c>
      <c r="E86" s="146" t="s">
        <v>20</v>
      </c>
      <c r="F86" s="146" t="s">
        <v>370</v>
      </c>
      <c r="G86" s="146">
        <v>63.4</v>
      </c>
      <c r="H86" s="156" t="s">
        <v>330</v>
      </c>
      <c r="I86" s="317" t="str">
        <f>VLOOKUP(H86,Sheet4!A:B,2,)</f>
        <v>Black+Polisph</v>
      </c>
      <c r="J86" s="43">
        <v>1</v>
      </c>
    </row>
    <row r="87" ht="61" customHeight="1" spans="1:10">
      <c r="A87" s="33"/>
      <c r="B87" s="19" t="s">
        <v>371</v>
      </c>
      <c r="C87" s="427" t="s">
        <v>354</v>
      </c>
      <c r="D87" s="20" t="s">
        <v>31</v>
      </c>
      <c r="E87" s="20" t="s">
        <v>20</v>
      </c>
      <c r="F87" s="20">
        <v>35</v>
      </c>
      <c r="G87" s="20">
        <v>63.4</v>
      </c>
      <c r="H87" s="20" t="s">
        <v>21</v>
      </c>
      <c r="I87" s="66" t="str">
        <f>VLOOKUP(H87,Sheet4!A:B,2,)</f>
        <v>Black Machine Face</v>
      </c>
      <c r="J87" s="42">
        <f>9-1-4-4+4-4+4-4+8-4-4+4-4+4-4+8-4</f>
        <v>4</v>
      </c>
    </row>
    <row r="88" ht="61" customHeight="1" spans="1:10">
      <c r="A88" s="84"/>
      <c r="B88" s="155" t="s">
        <v>372</v>
      </c>
      <c r="C88" s="426" t="s">
        <v>354</v>
      </c>
      <c r="D88" s="146" t="s">
        <v>34</v>
      </c>
      <c r="E88" s="146" t="s">
        <v>20</v>
      </c>
      <c r="F88" s="146">
        <v>35</v>
      </c>
      <c r="G88" s="146">
        <v>63.4</v>
      </c>
      <c r="H88" s="156" t="s">
        <v>21</v>
      </c>
      <c r="I88" s="317" t="str">
        <f>VLOOKUP(H88,Sheet4!A:B,2,)</f>
        <v>Black Machine Face</v>
      </c>
      <c r="J88" s="43">
        <f>4-4+4+4-4-4+8-4-4</f>
        <v>0</v>
      </c>
    </row>
    <row r="89" ht="57" customHeight="1" spans="1:10">
      <c r="A89" s="33"/>
      <c r="B89" s="19" t="s">
        <v>373</v>
      </c>
      <c r="C89" s="427" t="s">
        <v>354</v>
      </c>
      <c r="D89" s="20" t="s">
        <v>31</v>
      </c>
      <c r="E89" s="20" t="s">
        <v>20</v>
      </c>
      <c r="F89" s="20">
        <v>35</v>
      </c>
      <c r="G89" s="20">
        <v>63.4</v>
      </c>
      <c r="H89" s="20" t="s">
        <v>21</v>
      </c>
      <c r="I89" s="66" t="str">
        <f>VLOOKUP(H89,Sheet4!A:B,2,)</f>
        <v>Black Machine Face</v>
      </c>
      <c r="J89" s="42">
        <f>4-4+8+8-4-4-4-4</f>
        <v>0</v>
      </c>
    </row>
    <row r="90" ht="57" customHeight="1" spans="1:10">
      <c r="A90" s="82"/>
      <c r="B90" s="134" t="s">
        <v>374</v>
      </c>
      <c r="C90" s="427" t="s">
        <v>354</v>
      </c>
      <c r="D90" s="142" t="s">
        <v>34</v>
      </c>
      <c r="E90" s="142" t="s">
        <v>20</v>
      </c>
      <c r="F90" s="142">
        <v>38</v>
      </c>
      <c r="G90" s="142">
        <v>63.4</v>
      </c>
      <c r="H90" s="148" t="s">
        <v>21</v>
      </c>
      <c r="I90" s="331" t="str">
        <f>VLOOKUP(H90,Sheet4!A:B,2,)</f>
        <v>Black Machine Face</v>
      </c>
      <c r="J90" s="42">
        <f>9-1-4-4+4-4+12-4-4-4+8-8+8-4-4</f>
        <v>0</v>
      </c>
    </row>
    <row r="91" s="261" customFormat="1" ht="58" customHeight="1" spans="1:10">
      <c r="A91" s="363"/>
      <c r="B91" s="364" t="s">
        <v>375</v>
      </c>
      <c r="C91" s="365" t="s">
        <v>376</v>
      </c>
      <c r="D91" s="366" t="s">
        <v>19</v>
      </c>
      <c r="E91" s="366" t="s">
        <v>13</v>
      </c>
      <c r="F91" s="366">
        <v>38</v>
      </c>
      <c r="G91" s="366">
        <v>62.56</v>
      </c>
      <c r="H91" s="367" t="s">
        <v>26</v>
      </c>
      <c r="I91" s="368" t="str">
        <f>VLOOKUP(H91,Sheet4!A:B,2,)</f>
        <v>Gloss Black Polisph Face</v>
      </c>
      <c r="J91" s="369">
        <f>8-4-4+4+8</f>
        <v>12</v>
      </c>
    </row>
    <row r="92" s="261" customFormat="1" ht="58" customHeight="1" spans="1:10">
      <c r="A92" s="59"/>
      <c r="B92" s="155" t="s">
        <v>377</v>
      </c>
      <c r="C92" s="370" t="s">
        <v>376</v>
      </c>
      <c r="D92" s="371" t="s">
        <v>31</v>
      </c>
      <c r="E92" s="371" t="s">
        <v>13</v>
      </c>
      <c r="F92" s="371">
        <v>38</v>
      </c>
      <c r="G92" s="371">
        <v>62.56</v>
      </c>
      <c r="H92" s="372" t="s">
        <v>26</v>
      </c>
      <c r="I92" s="373" t="str">
        <f>VLOOKUP(H92,Sheet4!A:B,2,)</f>
        <v>Gloss Black Polisph Face</v>
      </c>
      <c r="J92" s="374">
        <f>8-4-4</f>
        <v>0</v>
      </c>
    </row>
    <row r="93" s="8" customFormat="1" ht="101" customHeight="1" spans="1:10">
      <c r="A93" s="84"/>
      <c r="B93" s="313" t="s">
        <v>378</v>
      </c>
      <c r="C93" s="39" t="s">
        <v>376</v>
      </c>
      <c r="D93" s="315" t="s">
        <v>31</v>
      </c>
      <c r="E93" s="315" t="s">
        <v>13</v>
      </c>
      <c r="F93" s="315">
        <v>38</v>
      </c>
      <c r="G93" s="315">
        <v>62.56</v>
      </c>
      <c r="H93" s="314" t="s">
        <v>16</v>
      </c>
      <c r="I93" s="362" t="str">
        <f>VLOOKUP(H93,Sheet4!A:B,2,)</f>
        <v>GLOSS BLACK</v>
      </c>
      <c r="J93" s="45">
        <f>8-4-4</f>
        <v>0</v>
      </c>
    </row>
    <row r="94" s="8" customFormat="1" ht="93" customHeight="1" spans="1:10">
      <c r="A94" s="84"/>
      <c r="B94" s="155" t="s">
        <v>379</v>
      </c>
      <c r="C94" s="24" t="s">
        <v>376</v>
      </c>
      <c r="D94" s="146" t="s">
        <v>31</v>
      </c>
      <c r="E94" s="146" t="s">
        <v>13</v>
      </c>
      <c r="F94" s="146">
        <v>38</v>
      </c>
      <c r="G94" s="146">
        <v>62.56</v>
      </c>
      <c r="H94" s="156" t="s">
        <v>21</v>
      </c>
      <c r="I94" s="317" t="str">
        <f>VLOOKUP(H94,Sheet4!A:B,2,)</f>
        <v>Black Machine Face</v>
      </c>
      <c r="J94" s="43">
        <f>4-4+4-4+4+12+4-4-4-8-4+12</f>
        <v>12</v>
      </c>
    </row>
    <row r="95" s="6" customFormat="1" ht="101" customHeight="1" spans="1:10">
      <c r="A95" s="84"/>
      <c r="B95" s="155" t="s">
        <v>380</v>
      </c>
      <c r="C95" s="24" t="s">
        <v>376</v>
      </c>
      <c r="D95" s="146" t="s">
        <v>31</v>
      </c>
      <c r="E95" s="146" t="s">
        <v>13</v>
      </c>
      <c r="F95" s="146">
        <v>38</v>
      </c>
      <c r="G95" s="146">
        <v>62.56</v>
      </c>
      <c r="H95" s="156" t="s">
        <v>21</v>
      </c>
      <c r="I95" s="317" t="str">
        <f>VLOOKUP(H95,Sheet4!A:B,2,)</f>
        <v>Black Machine Face</v>
      </c>
      <c r="J95" s="43">
        <f>4-4+4-4+8+4</f>
        <v>12</v>
      </c>
    </row>
    <row r="96" s="6" customFormat="1" ht="101" customHeight="1" spans="1:10">
      <c r="A96" s="84"/>
      <c r="B96" s="155" t="s">
        <v>381</v>
      </c>
      <c r="C96" s="24" t="s">
        <v>376</v>
      </c>
      <c r="D96" s="146" t="s">
        <v>31</v>
      </c>
      <c r="E96" s="146" t="s">
        <v>13</v>
      </c>
      <c r="F96" s="146">
        <v>30</v>
      </c>
      <c r="G96" s="146">
        <v>62.55</v>
      </c>
      <c r="H96" s="156" t="s">
        <v>16</v>
      </c>
      <c r="I96" s="317" t="str">
        <f>VLOOKUP(H96,Sheet4!A:B,2,)</f>
        <v>GLOSS BLACK</v>
      </c>
      <c r="J96" s="43">
        <f>4-4</f>
        <v>0</v>
      </c>
    </row>
    <row r="97" ht="102" customHeight="1" spans="1:10">
      <c r="A97" s="34"/>
      <c r="B97" s="23" t="s">
        <v>382</v>
      </c>
      <c r="C97" s="24" t="s">
        <v>376</v>
      </c>
      <c r="D97" s="24" t="s">
        <v>31</v>
      </c>
      <c r="E97" s="24" t="s">
        <v>13</v>
      </c>
      <c r="F97" s="24">
        <v>35</v>
      </c>
      <c r="G97" s="24" t="s">
        <v>383</v>
      </c>
      <c r="H97" s="24" t="s">
        <v>16</v>
      </c>
      <c r="I97" s="69" t="str">
        <f>VLOOKUP(H97,Sheet4!A:B,2,)</f>
        <v>GLOSS BLACK</v>
      </c>
      <c r="J97" s="43">
        <f>4-4+4-4+4+4-4-4+4-4+12-4-4+8-12+12-12</f>
        <v>0</v>
      </c>
    </row>
    <row r="98" s="63" customFormat="1" ht="114" customHeight="1" spans="1:10">
      <c r="A98" s="46"/>
      <c r="B98" s="23" t="s">
        <v>384</v>
      </c>
      <c r="C98" s="24" t="s">
        <v>376</v>
      </c>
      <c r="D98" s="24" t="s">
        <v>31</v>
      </c>
      <c r="E98" s="24" t="s">
        <v>13</v>
      </c>
      <c r="F98" s="24">
        <v>35</v>
      </c>
      <c r="G98" s="24">
        <v>62.56</v>
      </c>
      <c r="H98" s="24" t="s">
        <v>288</v>
      </c>
      <c r="I98" s="69" t="str">
        <f>VLOOKUP(H98,Sheet4!A:B,2,)</f>
        <v>matte bronze</v>
      </c>
      <c r="J98" s="43">
        <f>8-4+4</f>
        <v>8</v>
      </c>
    </row>
    <row r="99" s="6" customFormat="1" ht="103" customHeight="1" spans="1:10">
      <c r="A99" s="84"/>
      <c r="B99" s="155" t="s">
        <v>385</v>
      </c>
      <c r="C99" s="24" t="s">
        <v>376</v>
      </c>
      <c r="D99" s="146" t="s">
        <v>31</v>
      </c>
      <c r="E99" s="146" t="s">
        <v>13</v>
      </c>
      <c r="F99" s="146">
        <v>35</v>
      </c>
      <c r="G99" s="146">
        <v>62.56</v>
      </c>
      <c r="H99" s="156" t="s">
        <v>16</v>
      </c>
      <c r="I99" s="317" t="str">
        <f>VLOOKUP(H99,Sheet4!A:B,2,)</f>
        <v>GLOSS BLACK</v>
      </c>
      <c r="J99" s="43">
        <f>4-4+4-4+4-4+4-4+4-4+4-4+8-4+4+8-4-4-4-4+12-4-4-4</f>
        <v>0</v>
      </c>
    </row>
    <row r="100" s="6" customFormat="1" ht="104" customHeight="1" spans="1:10">
      <c r="A100" s="84"/>
      <c r="B100" s="155" t="s">
        <v>386</v>
      </c>
      <c r="C100" s="24" t="s">
        <v>376</v>
      </c>
      <c r="D100" s="146" t="s">
        <v>31</v>
      </c>
      <c r="E100" s="146" t="s">
        <v>13</v>
      </c>
      <c r="F100" s="146">
        <v>38</v>
      </c>
      <c r="G100" s="146">
        <v>62.56</v>
      </c>
      <c r="H100" s="156" t="s">
        <v>21</v>
      </c>
      <c r="I100" s="317" t="str">
        <f>VLOOKUP(H100,Sheet4!A:B,2,)</f>
        <v>Black Machine Face</v>
      </c>
      <c r="J100" s="43">
        <f>4-4+4-4+4-4+4-4+4-4+4-4+4</f>
        <v>4</v>
      </c>
    </row>
    <row r="101" s="6" customFormat="1" ht="109" customHeight="1" spans="1:10">
      <c r="A101" s="84"/>
      <c r="B101" s="23" t="s">
        <v>387</v>
      </c>
      <c r="C101" s="24" t="s">
        <v>376</v>
      </c>
      <c r="D101" s="24" t="s">
        <v>31</v>
      </c>
      <c r="E101" s="24" t="s">
        <v>13</v>
      </c>
      <c r="F101" s="24">
        <v>35</v>
      </c>
      <c r="G101" s="24">
        <v>62.56</v>
      </c>
      <c r="H101" s="24" t="s">
        <v>16</v>
      </c>
      <c r="I101" s="69" t="str">
        <f>VLOOKUP(H101,Sheet4!A:B,2,)</f>
        <v>GLOSS BLACK</v>
      </c>
      <c r="J101" s="43">
        <f>12-4-4-4+4-4+8+4-4-4-4</f>
        <v>0</v>
      </c>
    </row>
    <row r="102" s="6" customFormat="1" ht="60" customHeight="1" spans="1:10">
      <c r="A102" s="82"/>
      <c r="B102" s="19" t="s">
        <v>388</v>
      </c>
      <c r="C102" s="20" t="s">
        <v>376</v>
      </c>
      <c r="D102" s="20" t="s">
        <v>31</v>
      </c>
      <c r="E102" s="20" t="s">
        <v>13</v>
      </c>
      <c r="F102" s="142">
        <v>38</v>
      </c>
      <c r="G102" s="142">
        <v>62.56</v>
      </c>
      <c r="H102" s="20" t="s">
        <v>16</v>
      </c>
      <c r="I102" s="66" t="str">
        <f>VLOOKUP(H102,Sheet4!A:B,2,)</f>
        <v>GLOSS BLACK</v>
      </c>
      <c r="J102" s="42">
        <f>4-4+4-4+12-4-4-4+8-4+8-4-4-4+8+4-4-8+8-4+4-4-4+12-12</f>
        <v>0</v>
      </c>
    </row>
    <row r="103" s="6" customFormat="1" ht="60" customHeight="1" spans="1:10">
      <c r="A103" s="84"/>
      <c r="B103" s="155" t="s">
        <v>389</v>
      </c>
      <c r="C103" s="24" t="s">
        <v>376</v>
      </c>
      <c r="D103" s="146" t="s">
        <v>34</v>
      </c>
      <c r="E103" s="146" t="s">
        <v>13</v>
      </c>
      <c r="F103" s="146">
        <v>38</v>
      </c>
      <c r="G103" s="146">
        <v>62.56</v>
      </c>
      <c r="H103" s="156" t="s">
        <v>16</v>
      </c>
      <c r="I103" s="317" t="str">
        <f>VLOOKUP(H103,Sheet4!A:B,2,)</f>
        <v>GLOSS BLACK</v>
      </c>
      <c r="J103" s="43">
        <f>4-4+4-4+4+4-4-4</f>
        <v>0</v>
      </c>
    </row>
    <row r="104" s="6" customFormat="1" ht="57" customHeight="1" spans="1:10">
      <c r="A104" s="82"/>
      <c r="B104" s="19" t="s">
        <v>390</v>
      </c>
      <c r="C104" s="20" t="s">
        <v>376</v>
      </c>
      <c r="D104" s="20" t="s">
        <v>31</v>
      </c>
      <c r="E104" s="20" t="s">
        <v>13</v>
      </c>
      <c r="F104" s="20">
        <v>35</v>
      </c>
      <c r="G104" s="20">
        <v>62.55</v>
      </c>
      <c r="H104" s="20" t="s">
        <v>391</v>
      </c>
      <c r="I104" s="66" t="str">
        <f>VLOOKUP(H104,Sheet4!A:B,2,)</f>
        <v>MATTE GREY</v>
      </c>
      <c r="J104" s="42">
        <f>4-4+4+4-4-4+4-4</f>
        <v>0</v>
      </c>
    </row>
    <row r="105" s="6" customFormat="1" ht="57" customHeight="1" spans="1:10">
      <c r="A105" s="84"/>
      <c r="B105" s="155" t="s">
        <v>392</v>
      </c>
      <c r="C105" s="24" t="s">
        <v>376</v>
      </c>
      <c r="D105" s="146" t="s">
        <v>31</v>
      </c>
      <c r="E105" s="146" t="s">
        <v>13</v>
      </c>
      <c r="F105" s="146">
        <v>35</v>
      </c>
      <c r="G105" s="146">
        <v>62.55</v>
      </c>
      <c r="H105" s="156" t="s">
        <v>393</v>
      </c>
      <c r="I105" s="317" t="str">
        <f>VLOOKUP(H105,Sheet4!A:B,2,)</f>
        <v>MATTE GREY Machine Face</v>
      </c>
      <c r="J105" s="43">
        <f>16-4+4-4-4-4</f>
        <v>4</v>
      </c>
    </row>
    <row r="106" s="6" customFormat="1" ht="41" customHeight="1" spans="1:10">
      <c r="A106" s="82"/>
      <c r="B106" s="134" t="s">
        <v>394</v>
      </c>
      <c r="C106" s="20" t="s">
        <v>376</v>
      </c>
      <c r="D106" s="20" t="s">
        <v>31</v>
      </c>
      <c r="E106" s="20" t="s">
        <v>13</v>
      </c>
      <c r="F106" s="20">
        <v>35</v>
      </c>
      <c r="G106" s="20">
        <v>62.5</v>
      </c>
      <c r="H106" s="20" t="s">
        <v>21</v>
      </c>
      <c r="I106" s="66" t="str">
        <f>VLOOKUP(H106,Sheet4!A:B,2,)</f>
        <v>Black Machine Face</v>
      </c>
      <c r="J106" s="21">
        <f>4+8-4-4-4+4-4+8-4-4+8-4+4-1+1-4-4+8-4-4+8-4+4-4-4+4-4+8-4-4+4-4+4-4+4-4+4-4+8-4-4+8-8+8+16-12</f>
        <v>12</v>
      </c>
    </row>
    <row r="107" s="6" customFormat="1" ht="41" customHeight="1" spans="1:10">
      <c r="A107" s="82"/>
      <c r="B107" s="134" t="s">
        <v>395</v>
      </c>
      <c r="C107" s="20" t="s">
        <v>376</v>
      </c>
      <c r="D107" s="20" t="s">
        <v>31</v>
      </c>
      <c r="E107" s="20" t="s">
        <v>13</v>
      </c>
      <c r="F107" s="20">
        <v>35</v>
      </c>
      <c r="G107" s="20">
        <v>62.5</v>
      </c>
      <c r="H107" s="20" t="s">
        <v>16</v>
      </c>
      <c r="I107" s="66" t="s">
        <v>280</v>
      </c>
      <c r="J107" s="21">
        <v>8</v>
      </c>
    </row>
    <row r="108" s="6" customFormat="1" ht="41" customHeight="1" spans="1:10">
      <c r="A108" s="84"/>
      <c r="B108" s="155" t="s">
        <v>396</v>
      </c>
      <c r="C108" s="24" t="s">
        <v>376</v>
      </c>
      <c r="D108" s="146" t="s">
        <v>34</v>
      </c>
      <c r="E108" s="146" t="s">
        <v>13</v>
      </c>
      <c r="F108" s="146">
        <v>35</v>
      </c>
      <c r="G108" s="146">
        <v>62.5</v>
      </c>
      <c r="H108" s="156" t="s">
        <v>21</v>
      </c>
      <c r="I108" s="317" t="str">
        <f>VLOOKUP(H108,Sheet4!A:B,2,)</f>
        <v>Black Machine Face</v>
      </c>
      <c r="J108" s="43">
        <f>4-4+4-4</f>
        <v>0</v>
      </c>
    </row>
    <row r="109" s="6" customFormat="1" ht="39" customHeight="1" spans="1:10">
      <c r="A109" s="82"/>
      <c r="B109" s="134" t="s">
        <v>397</v>
      </c>
      <c r="C109" s="20" t="s">
        <v>376</v>
      </c>
      <c r="D109" s="20" t="s">
        <v>19</v>
      </c>
      <c r="E109" s="20" t="s">
        <v>13</v>
      </c>
      <c r="F109" s="20">
        <v>35</v>
      </c>
      <c r="G109" s="20">
        <v>62.5</v>
      </c>
      <c r="H109" s="20" t="s">
        <v>21</v>
      </c>
      <c r="I109" s="66" t="str">
        <f>VLOOKUP(H109,Sheet4!A:B,2,)</f>
        <v>Black Machine Face</v>
      </c>
      <c r="J109" s="42">
        <f>4-4+4-4+8-4-4+8-4-4+4-4</f>
        <v>0</v>
      </c>
    </row>
    <row r="110" s="6" customFormat="1" ht="39" customHeight="1" spans="1:10">
      <c r="A110" s="82"/>
      <c r="B110" s="134" t="s">
        <v>398</v>
      </c>
      <c r="C110" s="20" t="s">
        <v>376</v>
      </c>
      <c r="D110" s="20" t="s">
        <v>31</v>
      </c>
      <c r="E110" s="20" t="s">
        <v>13</v>
      </c>
      <c r="F110" s="20" t="s">
        <v>370</v>
      </c>
      <c r="G110" s="20">
        <v>62.5</v>
      </c>
      <c r="H110" s="20" t="s">
        <v>21</v>
      </c>
      <c r="I110" s="66" t="str">
        <f>VLOOKUP(H110,Sheet4!A:B,2,)</f>
        <v>Black Machine Face</v>
      </c>
      <c r="J110" s="21">
        <f>4-4+4-4+4-4+8-4-4+8-4+8-4-8+4-4+8-4+8-4+4</f>
        <v>12</v>
      </c>
    </row>
    <row r="111" s="6" customFormat="1" ht="39" customHeight="1" spans="1:10">
      <c r="A111" s="84"/>
      <c r="B111" s="155" t="s">
        <v>399</v>
      </c>
      <c r="C111" s="24" t="s">
        <v>376</v>
      </c>
      <c r="D111" s="146" t="s">
        <v>34</v>
      </c>
      <c r="E111" s="146" t="s">
        <v>13</v>
      </c>
      <c r="F111" s="146">
        <v>35</v>
      </c>
      <c r="G111" s="146">
        <v>62.5</v>
      </c>
      <c r="H111" s="156" t="s">
        <v>21</v>
      </c>
      <c r="I111" s="317" t="str">
        <f>VLOOKUP(H111,Sheet4!A:B,2,)</f>
        <v>Black Machine Face</v>
      </c>
      <c r="J111" s="43">
        <f>4-4+4</f>
        <v>4</v>
      </c>
    </row>
    <row r="112" s="6" customFormat="1" ht="60" customHeight="1" spans="1:10">
      <c r="A112" s="82"/>
      <c r="B112" s="134" t="s">
        <v>400</v>
      </c>
      <c r="C112" s="20" t="s">
        <v>376</v>
      </c>
      <c r="D112" s="20" t="s">
        <v>31</v>
      </c>
      <c r="E112" s="20" t="s">
        <v>13</v>
      </c>
      <c r="F112" s="20">
        <v>35</v>
      </c>
      <c r="G112" s="20">
        <v>62.5</v>
      </c>
      <c r="H112" s="20" t="s">
        <v>53</v>
      </c>
      <c r="I112" s="66" t="str">
        <f>VLOOKUP(H112,Sheet4!A:B,2,)</f>
        <v>polish</v>
      </c>
      <c r="J112" s="42">
        <f>4+4-4-4</f>
        <v>0</v>
      </c>
    </row>
    <row r="113" s="6" customFormat="1" ht="60" customHeight="1" spans="1:10">
      <c r="A113" s="84"/>
      <c r="B113" s="155" t="s">
        <v>401</v>
      </c>
      <c r="C113" s="24" t="s">
        <v>376</v>
      </c>
      <c r="D113" s="146" t="s">
        <v>34</v>
      </c>
      <c r="E113" s="146" t="s">
        <v>13</v>
      </c>
      <c r="F113" s="146">
        <v>35</v>
      </c>
      <c r="G113" s="146">
        <v>62.5</v>
      </c>
      <c r="H113" s="156" t="s">
        <v>53</v>
      </c>
      <c r="I113" s="317" t="str">
        <f>VLOOKUP(H113,Sheet4!A:B,2,)</f>
        <v>polish</v>
      </c>
      <c r="J113" s="43">
        <f>4-4+4-4</f>
        <v>0</v>
      </c>
    </row>
    <row r="114" s="6" customFormat="1" ht="117" customHeight="1" spans="1:10">
      <c r="A114" s="84"/>
      <c r="B114" s="155" t="s">
        <v>402</v>
      </c>
      <c r="C114" s="24" t="s">
        <v>376</v>
      </c>
      <c r="D114" s="146" t="s">
        <v>31</v>
      </c>
      <c r="E114" s="146" t="s">
        <v>13</v>
      </c>
      <c r="F114" s="146">
        <v>35</v>
      </c>
      <c r="G114" s="146">
        <v>62.56</v>
      </c>
      <c r="H114" s="156" t="s">
        <v>16</v>
      </c>
      <c r="I114" s="317" t="str">
        <f>VLOOKUP(H114,Sheet4!A:B,2,)</f>
        <v>GLOSS BLACK</v>
      </c>
      <c r="J114" s="43">
        <f>8-8+4-4+4-4+12-4-4-1+1-4+4-4+7-4+1-4+8-4-4+12</f>
        <v>12</v>
      </c>
    </row>
    <row r="115" s="6" customFormat="1" ht="30" customHeight="1" spans="1:10">
      <c r="A115" s="82"/>
      <c r="B115" s="19" t="s">
        <v>403</v>
      </c>
      <c r="C115" s="20" t="s">
        <v>376</v>
      </c>
      <c r="D115" s="20" t="s">
        <v>19</v>
      </c>
      <c r="E115" s="20" t="s">
        <v>13</v>
      </c>
      <c r="F115" s="20">
        <v>35</v>
      </c>
      <c r="G115" s="20">
        <v>62.56</v>
      </c>
      <c r="H115" s="20" t="s">
        <v>21</v>
      </c>
      <c r="I115" s="66" t="str">
        <f>VLOOKUP(H115,Sheet4!A:B,2,)</f>
        <v>Black Machine Face</v>
      </c>
      <c r="J115" s="42">
        <f>4-4+4-1+1-1+5</f>
        <v>8</v>
      </c>
    </row>
    <row r="116" s="6" customFormat="1" ht="30" customHeight="1" spans="1:10">
      <c r="A116" s="82"/>
      <c r="B116" s="19" t="s">
        <v>404</v>
      </c>
      <c r="C116" s="20" t="s">
        <v>376</v>
      </c>
      <c r="D116" s="20" t="s">
        <v>31</v>
      </c>
      <c r="E116" s="20" t="s">
        <v>13</v>
      </c>
      <c r="F116" s="20">
        <v>35</v>
      </c>
      <c r="G116" s="20">
        <v>62.56</v>
      </c>
      <c r="H116" s="20" t="s">
        <v>21</v>
      </c>
      <c r="I116" s="66" t="str">
        <f>VLOOKUP(H116,Sheet4!A:B,2,)</f>
        <v>Black Machine Face</v>
      </c>
      <c r="J116" s="42">
        <f>8-4-4+4-4+12-1-4-4+1-4+4-4+4-4+1+8-4+4</f>
        <v>9</v>
      </c>
    </row>
    <row r="117" s="6" customFormat="1" ht="30" customHeight="1" spans="1:10">
      <c r="A117" s="82"/>
      <c r="B117" s="19" t="s">
        <v>405</v>
      </c>
      <c r="C117" s="167" t="s">
        <v>376</v>
      </c>
      <c r="D117" s="20" t="s">
        <v>31</v>
      </c>
      <c r="E117" s="20" t="s">
        <v>13</v>
      </c>
      <c r="F117" s="20">
        <v>38</v>
      </c>
      <c r="G117" s="20">
        <v>62.56</v>
      </c>
      <c r="H117" s="20" t="s">
        <v>16</v>
      </c>
      <c r="I117" s="66" t="str">
        <f>VLOOKUP(H117,Sheet4!A:B,2,)</f>
        <v>GLOSS BLACK</v>
      </c>
      <c r="J117" s="42">
        <f>12-4+4-4-4</f>
        <v>4</v>
      </c>
    </row>
    <row r="118" s="6" customFormat="1" ht="30" customHeight="1" spans="1:10">
      <c r="A118" s="82"/>
      <c r="B118" s="134" t="s">
        <v>406</v>
      </c>
      <c r="C118" s="20" t="s">
        <v>376</v>
      </c>
      <c r="D118" s="142" t="s">
        <v>34</v>
      </c>
      <c r="E118" s="142" t="s">
        <v>13</v>
      </c>
      <c r="F118" s="142">
        <v>35</v>
      </c>
      <c r="G118" s="142">
        <v>62.56</v>
      </c>
      <c r="H118" s="148" t="s">
        <v>21</v>
      </c>
      <c r="I118" s="331" t="str">
        <f>VLOOKUP(H118,Sheet4!A:B,2,)</f>
        <v>Black Machine Face</v>
      </c>
      <c r="J118" s="42">
        <f>12-4-4-4</f>
        <v>0</v>
      </c>
    </row>
    <row r="119" s="6" customFormat="1" ht="43" customHeight="1" spans="1:10">
      <c r="A119" s="86"/>
      <c r="B119" s="53" t="s">
        <v>407</v>
      </c>
      <c r="C119" s="54" t="s">
        <v>376</v>
      </c>
      <c r="D119" s="54" t="s">
        <v>19</v>
      </c>
      <c r="E119" s="54" t="s">
        <v>13</v>
      </c>
      <c r="F119" s="54" t="s">
        <v>408</v>
      </c>
      <c r="G119" s="54">
        <v>62.56</v>
      </c>
      <c r="H119" s="54" t="s">
        <v>21</v>
      </c>
      <c r="I119" s="87" t="str">
        <f>VLOOKUP(H119,Sheet4!A:B,2,)</f>
        <v>Black Machine Face</v>
      </c>
      <c r="J119" s="55">
        <f>8-4-4+8-1+1</f>
        <v>8</v>
      </c>
    </row>
    <row r="120" s="6" customFormat="1" ht="43" customHeight="1" spans="1:10">
      <c r="A120" s="82"/>
      <c r="B120" s="19" t="s">
        <v>409</v>
      </c>
      <c r="C120" s="20" t="s">
        <v>376</v>
      </c>
      <c r="D120" s="20" t="s">
        <v>31</v>
      </c>
      <c r="E120" s="20" t="s">
        <v>13</v>
      </c>
      <c r="F120" s="20">
        <v>38</v>
      </c>
      <c r="G120" s="20">
        <v>62.56</v>
      </c>
      <c r="H120" s="20" t="s">
        <v>21</v>
      </c>
      <c r="I120" s="66" t="str">
        <f>VLOOKUP(H120,Sheet4!A:B,2,)</f>
        <v>Black Machine Face</v>
      </c>
      <c r="J120" s="42">
        <f>4-4+4+4-4-4+4-4+12-2-4-2+2-4+2-4+8-4</f>
        <v>4</v>
      </c>
    </row>
    <row r="121" s="6" customFormat="1" ht="43" customHeight="1" spans="1:10">
      <c r="A121" s="84"/>
      <c r="B121" s="155" t="s">
        <v>410</v>
      </c>
      <c r="C121" s="24" t="s">
        <v>376</v>
      </c>
      <c r="D121" s="146" t="s">
        <v>34</v>
      </c>
      <c r="E121" s="146" t="s">
        <v>13</v>
      </c>
      <c r="F121" s="146">
        <v>35</v>
      </c>
      <c r="G121" s="146">
        <v>62.56</v>
      </c>
      <c r="H121" s="156" t="s">
        <v>21</v>
      </c>
      <c r="I121" s="317" t="str">
        <f>VLOOKUP(H121,Sheet4!A:B,2,)</f>
        <v>Black Machine Face</v>
      </c>
      <c r="J121" s="43">
        <f>8-4+4</f>
        <v>8</v>
      </c>
    </row>
    <row r="122" s="6" customFormat="1" ht="31" customHeight="1" spans="1:10">
      <c r="A122" s="82"/>
      <c r="B122" s="19" t="s">
        <v>411</v>
      </c>
      <c r="C122" s="20" t="s">
        <v>376</v>
      </c>
      <c r="D122" s="20" t="s">
        <v>19</v>
      </c>
      <c r="E122" s="20" t="s">
        <v>13</v>
      </c>
      <c r="F122" s="20">
        <v>35</v>
      </c>
      <c r="G122" s="20">
        <v>62.56</v>
      </c>
      <c r="H122" s="20" t="s">
        <v>16</v>
      </c>
      <c r="I122" s="66" t="str">
        <f>VLOOKUP(H122,Sheet4!A:B,2,)</f>
        <v>GLOSS BLACK</v>
      </c>
      <c r="J122" s="42">
        <f>8-4-4+4-4+4-4+4-4</f>
        <v>0</v>
      </c>
    </row>
    <row r="123" s="6" customFormat="1" ht="31" customHeight="1" spans="1:10">
      <c r="A123" s="82"/>
      <c r="B123" s="19" t="s">
        <v>412</v>
      </c>
      <c r="C123" s="20" t="s">
        <v>376</v>
      </c>
      <c r="D123" s="20" t="s">
        <v>31</v>
      </c>
      <c r="E123" s="20" t="s">
        <v>13</v>
      </c>
      <c r="F123" s="20" t="s">
        <v>370</v>
      </c>
      <c r="G123" s="20">
        <v>62.56</v>
      </c>
      <c r="H123" s="20" t="s">
        <v>16</v>
      </c>
      <c r="I123" s="66" t="str">
        <f>VLOOKUP(H123,Sheet4!A:B,2,)</f>
        <v>GLOSS BLACK</v>
      </c>
      <c r="J123" s="42">
        <f>8-4-4+4-4+4-1+4-7+4-4+8-4-4+8+4-4-4-4+12-4-8+8-4-4+4+8+4-4</f>
        <v>12</v>
      </c>
    </row>
    <row r="124" s="6" customFormat="1" ht="31" customHeight="1" spans="1:10">
      <c r="A124" s="82"/>
      <c r="B124" s="134" t="s">
        <v>413</v>
      </c>
      <c r="C124" s="20" t="s">
        <v>376</v>
      </c>
      <c r="D124" s="142" t="s">
        <v>31</v>
      </c>
      <c r="E124" s="142" t="s">
        <v>13</v>
      </c>
      <c r="F124" s="142">
        <v>35</v>
      </c>
      <c r="G124" s="375">
        <v>72.56</v>
      </c>
      <c r="H124" s="148" t="s">
        <v>16</v>
      </c>
      <c r="I124" s="331" t="str">
        <f>VLOOKUP(H124,Sheet4!A:B,2,)</f>
        <v>GLOSS BLACK</v>
      </c>
      <c r="J124" s="42">
        <f>8-4-4+12-4-4</f>
        <v>4</v>
      </c>
    </row>
    <row r="125" s="6" customFormat="1" ht="31" customHeight="1" spans="1:10">
      <c r="A125" s="84"/>
      <c r="B125" s="155" t="s">
        <v>414</v>
      </c>
      <c r="C125" s="50" t="s">
        <v>376</v>
      </c>
      <c r="D125" s="319" t="s">
        <v>34</v>
      </c>
      <c r="E125" s="319" t="s">
        <v>13</v>
      </c>
      <c r="F125" s="319">
        <v>35</v>
      </c>
      <c r="G125" s="319">
        <v>62.56</v>
      </c>
      <c r="H125" s="163" t="s">
        <v>16</v>
      </c>
      <c r="I125" s="338" t="str">
        <f>VLOOKUP(H125,Sheet4!A:B,2,)</f>
        <v>GLOSS BLACK</v>
      </c>
      <c r="J125" s="51">
        <f>8-4-4</f>
        <v>0</v>
      </c>
    </row>
    <row r="126" s="6" customFormat="1" ht="35" customHeight="1" spans="1:10">
      <c r="A126" s="82"/>
      <c r="B126" s="134" t="s">
        <v>415</v>
      </c>
      <c r="C126" s="148" t="s">
        <v>376</v>
      </c>
      <c r="D126" s="142" t="s">
        <v>19</v>
      </c>
      <c r="E126" s="142" t="s">
        <v>13</v>
      </c>
      <c r="F126" s="142">
        <v>38</v>
      </c>
      <c r="G126" s="142">
        <v>62.55</v>
      </c>
      <c r="H126" s="148" t="s">
        <v>16</v>
      </c>
      <c r="I126" s="331" t="str">
        <f>VLOOKUP(H126,Sheet4!A:B,2,)</f>
        <v>GLOSS BLACK</v>
      </c>
      <c r="J126" s="42">
        <f>12-4-4-4</f>
        <v>0</v>
      </c>
    </row>
    <row r="127" s="6" customFormat="1" ht="35" customHeight="1" spans="1:10">
      <c r="A127" s="82"/>
      <c r="B127" s="134" t="s">
        <v>416</v>
      </c>
      <c r="C127" s="148" t="s">
        <v>376</v>
      </c>
      <c r="D127" s="142" t="s">
        <v>31</v>
      </c>
      <c r="E127" s="142" t="s">
        <v>13</v>
      </c>
      <c r="F127" s="142">
        <v>38</v>
      </c>
      <c r="G127" s="142">
        <v>62.5</v>
      </c>
      <c r="H127" s="148" t="s">
        <v>16</v>
      </c>
      <c r="I127" s="331" t="str">
        <f>VLOOKUP(H127,Sheet4!A:B,2,)</f>
        <v>GLOSS BLACK</v>
      </c>
      <c r="J127" s="42">
        <f>4-4+8-4-4+4+8-1+9-4-4-1-4+1-4-4+4-4+8-8+8-8</f>
        <v>0</v>
      </c>
    </row>
    <row r="128" s="6" customFormat="1" ht="35" customHeight="1" spans="1:10">
      <c r="A128" s="84"/>
      <c r="B128" s="155" t="s">
        <v>417</v>
      </c>
      <c r="C128" s="24" t="s">
        <v>376</v>
      </c>
      <c r="D128" s="146" t="s">
        <v>34</v>
      </c>
      <c r="E128" s="146" t="s">
        <v>13</v>
      </c>
      <c r="F128" s="146">
        <v>40</v>
      </c>
      <c r="G128" s="146">
        <v>62.5</v>
      </c>
      <c r="H128" s="156" t="s">
        <v>16</v>
      </c>
      <c r="I128" s="317" t="str">
        <f>VLOOKUP(H128,Sheet4!A:B,2,)</f>
        <v>GLOSS BLACK</v>
      </c>
      <c r="J128" s="43">
        <f>4-4+4-4+4-4+8-4-4</f>
        <v>0</v>
      </c>
    </row>
    <row r="129" s="6" customFormat="1" ht="99" customHeight="1" spans="1:10">
      <c r="A129" s="124"/>
      <c r="B129" s="318" t="s">
        <v>418</v>
      </c>
      <c r="C129" s="50" t="s">
        <v>419</v>
      </c>
      <c r="D129" s="319" t="s">
        <v>34</v>
      </c>
      <c r="E129" s="319" t="s">
        <v>13</v>
      </c>
      <c r="F129" s="319">
        <v>38</v>
      </c>
      <c r="G129" s="319">
        <v>62.5</v>
      </c>
      <c r="H129" s="163" t="s">
        <v>26</v>
      </c>
      <c r="I129" s="317" t="str">
        <f>VLOOKUP(H129,Sheet4!A:B,2,)</f>
        <v>Gloss Black Polisph Face</v>
      </c>
      <c r="J129" s="51">
        <f>12-4-4</f>
        <v>4</v>
      </c>
    </row>
    <row r="130" s="6" customFormat="1" ht="44" customHeight="1" spans="1:10">
      <c r="A130" s="82"/>
      <c r="B130" s="134" t="s">
        <v>420</v>
      </c>
      <c r="C130" s="20" t="s">
        <v>419</v>
      </c>
      <c r="D130" s="142" t="s">
        <v>31</v>
      </c>
      <c r="E130" s="142" t="s">
        <v>13</v>
      </c>
      <c r="F130" s="142">
        <v>38</v>
      </c>
      <c r="G130" s="142">
        <v>62.5</v>
      </c>
      <c r="H130" s="148" t="s">
        <v>26</v>
      </c>
      <c r="I130" s="331" t="str">
        <f>VLOOKUP(H130,Sheet4!A:B,2,)</f>
        <v>Gloss Black Polisph Face</v>
      </c>
      <c r="J130" s="42">
        <f>8-1-4+1</f>
        <v>4</v>
      </c>
    </row>
    <row r="131" s="6" customFormat="1" ht="44" customHeight="1" spans="1:10">
      <c r="A131" s="82"/>
      <c r="B131" s="134" t="s">
        <v>421</v>
      </c>
      <c r="C131" s="20" t="s">
        <v>419</v>
      </c>
      <c r="D131" s="142" t="s">
        <v>31</v>
      </c>
      <c r="E131" s="142" t="s">
        <v>13</v>
      </c>
      <c r="F131" s="142">
        <v>38</v>
      </c>
      <c r="G131" s="142">
        <v>62.5</v>
      </c>
      <c r="H131" s="148" t="s">
        <v>422</v>
      </c>
      <c r="I131" s="331" t="e">
        <f>VLOOKUP(H131,Sheet4!A:B,2,)</f>
        <v>#N/A</v>
      </c>
      <c r="J131" s="42">
        <f>12</f>
        <v>12</v>
      </c>
    </row>
    <row r="132" s="6" customFormat="1" ht="44" customHeight="1" spans="1:10">
      <c r="A132" s="82"/>
      <c r="B132" s="134" t="s">
        <v>423</v>
      </c>
      <c r="C132" s="20" t="s">
        <v>419</v>
      </c>
      <c r="D132" s="142" t="s">
        <v>31</v>
      </c>
      <c r="E132" s="142" t="s">
        <v>13</v>
      </c>
      <c r="F132" s="142">
        <v>38</v>
      </c>
      <c r="G132" s="142">
        <v>62.5</v>
      </c>
      <c r="H132" s="148" t="s">
        <v>424</v>
      </c>
      <c r="I132" s="331" t="str">
        <f>VLOOKUP(H132,Sheet4!A:B,2,)</f>
        <v>Black Machine+BLACK COATING</v>
      </c>
      <c r="J132" s="42">
        <v>4</v>
      </c>
    </row>
    <row r="133" s="6" customFormat="1" ht="44" customHeight="1" spans="1:10">
      <c r="A133" s="82"/>
      <c r="B133" s="134" t="s">
        <v>425</v>
      </c>
      <c r="C133" s="20" t="s">
        <v>419</v>
      </c>
      <c r="D133" s="142" t="s">
        <v>31</v>
      </c>
      <c r="E133" s="142" t="s">
        <v>13</v>
      </c>
      <c r="F133" s="142">
        <v>38</v>
      </c>
      <c r="G133" s="142">
        <v>62.5</v>
      </c>
      <c r="H133" s="148" t="s">
        <v>16</v>
      </c>
      <c r="I133" s="331" t="s">
        <v>426</v>
      </c>
      <c r="J133" s="42">
        <v>0</v>
      </c>
    </row>
    <row r="134" s="6" customFormat="1" ht="44" customHeight="1" spans="1:10">
      <c r="A134" s="82"/>
      <c r="B134" s="134" t="s">
        <v>427</v>
      </c>
      <c r="C134" s="20" t="s">
        <v>419</v>
      </c>
      <c r="D134" s="142" t="s">
        <v>34</v>
      </c>
      <c r="E134" s="142" t="s">
        <v>13</v>
      </c>
      <c r="F134" s="142">
        <v>38</v>
      </c>
      <c r="G134" s="142">
        <v>62.5</v>
      </c>
      <c r="H134" s="148" t="s">
        <v>422</v>
      </c>
      <c r="I134" s="331" t="e">
        <f>VLOOKUP(H134,Sheet4!A:B,2,)</f>
        <v>#N/A</v>
      </c>
      <c r="J134" s="42">
        <f>4+4-4-4+8-4+8-4+8+1-4</f>
        <v>13</v>
      </c>
    </row>
    <row r="135" s="6" customFormat="1" ht="44" customHeight="1" spans="1:10">
      <c r="A135" s="82"/>
      <c r="B135" s="134" t="s">
        <v>428</v>
      </c>
      <c r="C135" s="20" t="s">
        <v>419</v>
      </c>
      <c r="D135" s="142" t="s">
        <v>34</v>
      </c>
      <c r="E135" s="142" t="s">
        <v>13</v>
      </c>
      <c r="F135" s="142">
        <v>38</v>
      </c>
      <c r="G135" s="142">
        <v>62.5</v>
      </c>
      <c r="H135" s="148" t="s">
        <v>424</v>
      </c>
      <c r="I135" s="331" t="str">
        <f>VLOOKUP(H135,Sheet4!A:B,2,)</f>
        <v>Black Machine+BLACK COATING</v>
      </c>
      <c r="J135" s="42">
        <f>4+4-4-2+2-4+4+4-4+4+4-4-4-4+8-4-4</f>
        <v>0</v>
      </c>
    </row>
    <row r="136" s="6" customFormat="1" ht="44" customHeight="1" spans="1:10">
      <c r="A136" s="82"/>
      <c r="B136" s="134" t="s">
        <v>429</v>
      </c>
      <c r="C136" s="20" t="s">
        <v>419</v>
      </c>
      <c r="D136" s="142" t="s">
        <v>34</v>
      </c>
      <c r="E136" s="142" t="s">
        <v>13</v>
      </c>
      <c r="F136" s="142">
        <v>38</v>
      </c>
      <c r="G136" s="142">
        <v>62.5</v>
      </c>
      <c r="H136" s="148" t="s">
        <v>16</v>
      </c>
      <c r="I136" s="331" t="str">
        <f>VLOOKUP(H136,Sheet4!A:B,2,)</f>
        <v>GLOSS BLACK</v>
      </c>
      <c r="J136" s="42">
        <f>8-4-4+12-4-4-4+4+4-4-4+4+4</f>
        <v>8</v>
      </c>
    </row>
    <row r="137" s="6" customFormat="1" ht="44" customHeight="1" spans="1:10">
      <c r="A137" s="124"/>
      <c r="B137" s="318" t="s">
        <v>430</v>
      </c>
      <c r="C137" s="50" t="s">
        <v>419</v>
      </c>
      <c r="D137" s="319" t="s">
        <v>431</v>
      </c>
      <c r="E137" s="319" t="s">
        <v>13</v>
      </c>
      <c r="F137" s="319">
        <v>38</v>
      </c>
      <c r="G137" s="319">
        <v>62.5</v>
      </c>
      <c r="H137" s="163" t="s">
        <v>424</v>
      </c>
      <c r="I137" s="338" t="str">
        <f>VLOOKUP(H137,Sheet4!A:B,2,)</f>
        <v>Black Machine+BLACK COATING</v>
      </c>
      <c r="J137" s="51">
        <f>8-4-4+8-4</f>
        <v>4</v>
      </c>
    </row>
    <row r="138" s="6" customFormat="1" ht="36" customHeight="1" spans="1:10">
      <c r="A138" s="44"/>
      <c r="B138" s="134" t="s">
        <v>432</v>
      </c>
      <c r="C138" s="20" t="s">
        <v>433</v>
      </c>
      <c r="D138" s="142" t="s">
        <v>31</v>
      </c>
      <c r="E138" s="142" t="s">
        <v>13</v>
      </c>
      <c r="F138" s="142">
        <v>38</v>
      </c>
      <c r="G138" s="142">
        <v>62.56</v>
      </c>
      <c r="H138" s="148" t="s">
        <v>347</v>
      </c>
      <c r="I138" s="331" t="str">
        <f>VLOOKUP(H138,Sheet4!A:B,2,)</f>
        <v>Polished Laser-Etched</v>
      </c>
      <c r="J138" s="42">
        <f>20-4-4-4-4-4</f>
        <v>0</v>
      </c>
    </row>
    <row r="139" s="6" customFormat="1" ht="36" customHeight="1" spans="1:10">
      <c r="A139" s="44"/>
      <c r="B139" s="134" t="s">
        <v>434</v>
      </c>
      <c r="C139" s="20" t="s">
        <v>433</v>
      </c>
      <c r="D139" s="142" t="s">
        <v>34</v>
      </c>
      <c r="E139" s="142" t="s">
        <v>13</v>
      </c>
      <c r="F139" s="142">
        <v>38</v>
      </c>
      <c r="G139" s="142">
        <v>62.56</v>
      </c>
      <c r="H139" s="148" t="s">
        <v>347</v>
      </c>
      <c r="I139" s="331" t="str">
        <f>VLOOKUP(H139,Sheet4!A:B,2,)</f>
        <v>Polished Laser-Etched</v>
      </c>
      <c r="J139" s="42">
        <f>16-4-4-4-4+20-4-4-4-4-4+4-4</f>
        <v>0</v>
      </c>
    </row>
    <row r="140" s="6" customFormat="1" ht="36" customHeight="1" spans="1:10">
      <c r="A140" s="46"/>
      <c r="B140" s="155" t="s">
        <v>435</v>
      </c>
      <c r="C140" s="50" t="s">
        <v>433</v>
      </c>
      <c r="D140" s="319" t="s">
        <v>431</v>
      </c>
      <c r="E140" s="319" t="s">
        <v>13</v>
      </c>
      <c r="F140" s="319">
        <v>32</v>
      </c>
      <c r="G140" s="319">
        <v>62.56</v>
      </c>
      <c r="H140" s="163" t="s">
        <v>347</v>
      </c>
      <c r="I140" s="338" t="str">
        <f>VLOOKUP(H140,Sheet4!A:B,2,)</f>
        <v>Polished Laser-Etched</v>
      </c>
      <c r="J140" s="51">
        <f>2+6-4+12+16-4-4-4-4-4-4-4</f>
        <v>4</v>
      </c>
    </row>
    <row r="141" s="6" customFormat="1" ht="99" customHeight="1" spans="1:10">
      <c r="A141" s="124"/>
      <c r="B141" s="318" t="s">
        <v>436</v>
      </c>
      <c r="C141" s="50" t="s">
        <v>437</v>
      </c>
      <c r="D141" s="319" t="s">
        <v>19</v>
      </c>
      <c r="E141" s="319" t="s">
        <v>13</v>
      </c>
      <c r="F141" s="319">
        <v>40</v>
      </c>
      <c r="G141" s="319">
        <v>62.5</v>
      </c>
      <c r="H141" s="163" t="s">
        <v>21</v>
      </c>
      <c r="I141" s="317" t="str">
        <f>VLOOKUP(H141,Sheet4!A:B,2,)</f>
        <v>Black Machine Face</v>
      </c>
      <c r="J141" s="51">
        <f>12-4-4</f>
        <v>4</v>
      </c>
    </row>
    <row r="142" s="6" customFormat="1" ht="27" customHeight="1" spans="1:10">
      <c r="A142" s="82"/>
      <c r="B142" s="134" t="s">
        <v>438</v>
      </c>
      <c r="C142" s="20" t="s">
        <v>437</v>
      </c>
      <c r="D142" s="142" t="s">
        <v>23</v>
      </c>
      <c r="E142" s="142" t="s">
        <v>13</v>
      </c>
      <c r="F142" s="142">
        <v>35</v>
      </c>
      <c r="G142" s="142">
        <v>62.5</v>
      </c>
      <c r="H142" s="148" t="s">
        <v>439</v>
      </c>
      <c r="I142" s="331" t="str">
        <f>VLOOKUP(H142,Sheet4!A:B,2,)</f>
        <v>Gunmetal Machine Face</v>
      </c>
      <c r="J142" s="42">
        <f>12-4-4+12-4-4-4-1+1</f>
        <v>4</v>
      </c>
    </row>
    <row r="143" s="6" customFormat="1" ht="27" customHeight="1" spans="1:10">
      <c r="A143" s="82"/>
      <c r="B143" s="134" t="s">
        <v>440</v>
      </c>
      <c r="C143" s="20" t="s">
        <v>437</v>
      </c>
      <c r="D143" s="142" t="s">
        <v>23</v>
      </c>
      <c r="E143" s="142" t="s">
        <v>13</v>
      </c>
      <c r="F143" s="142">
        <v>35</v>
      </c>
      <c r="G143" s="142">
        <v>62.5</v>
      </c>
      <c r="H143" s="148" t="s">
        <v>441</v>
      </c>
      <c r="I143" s="331" t="str">
        <f>VLOOKUP(H143,Sheet4!A:B,2,)</f>
        <v>MATTE GERY </v>
      </c>
      <c r="J143" s="42">
        <f>8+8-4-4+4+4</f>
        <v>16</v>
      </c>
    </row>
    <row r="144" s="6" customFormat="1" ht="27" customHeight="1" spans="1:10">
      <c r="A144" s="82"/>
      <c r="B144" s="134" t="s">
        <v>442</v>
      </c>
      <c r="C144" s="20" t="s">
        <v>437</v>
      </c>
      <c r="D144" s="142" t="s">
        <v>29</v>
      </c>
      <c r="E144" s="142" t="s">
        <v>13</v>
      </c>
      <c r="F144" s="142">
        <v>35</v>
      </c>
      <c r="G144" s="142">
        <v>62.5</v>
      </c>
      <c r="H144" s="148" t="s">
        <v>441</v>
      </c>
      <c r="I144" s="331" t="str">
        <f>VLOOKUP(H144,Sheet4!A:B,2,)</f>
        <v>MATTE GERY </v>
      </c>
      <c r="J144" s="42">
        <f>12-4-4-4+4-4+8-4-4+8-4+8-4-4-4+8-4-4+20-4-4-4-4-4</f>
        <v>0</v>
      </c>
    </row>
    <row r="145" s="6" customFormat="1" ht="27" customHeight="1" spans="1:10">
      <c r="A145" s="82"/>
      <c r="B145" s="134" t="s">
        <v>443</v>
      </c>
      <c r="C145" s="20" t="s">
        <v>437</v>
      </c>
      <c r="D145" s="142" t="s">
        <v>19</v>
      </c>
      <c r="E145" s="142" t="s">
        <v>13</v>
      </c>
      <c r="F145" s="142">
        <v>40</v>
      </c>
      <c r="G145" s="142">
        <v>62.5</v>
      </c>
      <c r="H145" s="148" t="s">
        <v>87</v>
      </c>
      <c r="I145" s="331" t="str">
        <f>VLOOKUP(H145,Sheet4!A:B,2,)</f>
        <v>Gunmetal Machine Face</v>
      </c>
      <c r="J145" s="42">
        <v>0</v>
      </c>
    </row>
    <row r="146" s="6" customFormat="1" ht="27" customHeight="1" spans="1:10">
      <c r="A146" s="82"/>
      <c r="B146" s="134" t="s">
        <v>444</v>
      </c>
      <c r="C146" s="20" t="s">
        <v>437</v>
      </c>
      <c r="D146" s="142" t="s">
        <v>29</v>
      </c>
      <c r="E146" s="142" t="s">
        <v>13</v>
      </c>
      <c r="F146" s="142">
        <v>35</v>
      </c>
      <c r="G146" s="142">
        <v>62.5</v>
      </c>
      <c r="H146" s="148" t="s">
        <v>159</v>
      </c>
      <c r="I146" s="331" t="str">
        <f>VLOOKUP(H146,Sheet4!A:B,2,)</f>
        <v>MATTE BLACK</v>
      </c>
      <c r="J146" s="42">
        <f>12-4-4-4+8-4-4</f>
        <v>0</v>
      </c>
    </row>
    <row r="147" s="6" customFormat="1" ht="27" customHeight="1" spans="1:10">
      <c r="A147" s="82"/>
      <c r="B147" s="134" t="s">
        <v>445</v>
      </c>
      <c r="C147" s="20" t="s">
        <v>437</v>
      </c>
      <c r="D147" s="142" t="s">
        <v>19</v>
      </c>
      <c r="E147" s="142" t="s">
        <v>13</v>
      </c>
      <c r="F147" s="142">
        <v>40</v>
      </c>
      <c r="G147" s="142">
        <v>62.5</v>
      </c>
      <c r="H147" s="148" t="s">
        <v>16</v>
      </c>
      <c r="I147" s="331" t="str">
        <f>VLOOKUP(H147,Sheet4!A:B,2,)</f>
        <v>GLOSS BLACK</v>
      </c>
      <c r="J147" s="42">
        <f>12-4-4-4+12-4-4-4+12-4+4+4-4+4-4</f>
        <v>12</v>
      </c>
    </row>
    <row r="148" s="6" customFormat="1" ht="27" customHeight="1" spans="1:10">
      <c r="A148" s="84"/>
      <c r="B148" s="155" t="s">
        <v>446</v>
      </c>
      <c r="C148" s="24" t="s">
        <v>437</v>
      </c>
      <c r="D148" s="146" t="s">
        <v>31</v>
      </c>
      <c r="E148" s="146" t="s">
        <v>13</v>
      </c>
      <c r="F148" s="146">
        <v>40</v>
      </c>
      <c r="G148" s="146">
        <v>62.5</v>
      </c>
      <c r="H148" s="156" t="s">
        <v>87</v>
      </c>
      <c r="I148" s="317" t="str">
        <f>VLOOKUP(H148,Sheet4!A:B,2,)</f>
        <v>Gunmetal Machine Face</v>
      </c>
      <c r="J148" s="43">
        <v>8</v>
      </c>
    </row>
    <row r="149" s="6" customFormat="1" ht="40" customHeight="1" spans="1:10">
      <c r="A149" s="82"/>
      <c r="B149" s="134" t="s">
        <v>447</v>
      </c>
      <c r="C149" s="20" t="s">
        <v>437</v>
      </c>
      <c r="D149" s="142" t="s">
        <v>19</v>
      </c>
      <c r="E149" s="142" t="s">
        <v>13</v>
      </c>
      <c r="F149" s="142" t="s">
        <v>448</v>
      </c>
      <c r="G149" s="142">
        <v>62.5</v>
      </c>
      <c r="H149" s="148" t="s">
        <v>26</v>
      </c>
      <c r="I149" s="331" t="str">
        <f>VLOOKUP(H149,Sheet4!A:B,2,)</f>
        <v>Gloss Black Polisph Face</v>
      </c>
      <c r="J149" s="42">
        <f>8-4-4+8-4-4+4-4+8-4-2+2-4+8-4-4+4-4+8-4-4+4+12-1-4</f>
        <v>11</v>
      </c>
    </row>
    <row r="150" s="6" customFormat="1" ht="40" customHeight="1" spans="1:10">
      <c r="A150" s="82"/>
      <c r="B150" s="134" t="s">
        <v>449</v>
      </c>
      <c r="C150" s="20" t="s">
        <v>437</v>
      </c>
      <c r="D150" s="142" t="s">
        <v>31</v>
      </c>
      <c r="E150" s="142" t="s">
        <v>13</v>
      </c>
      <c r="F150" s="142">
        <v>40</v>
      </c>
      <c r="G150" s="142">
        <v>62.5</v>
      </c>
      <c r="H150" s="148" t="s">
        <v>26</v>
      </c>
      <c r="I150" s="331" t="str">
        <f>VLOOKUP(H150,Sheet4!A:B,2,)</f>
        <v>Gloss Black Polisph Face</v>
      </c>
      <c r="J150" s="42">
        <f>4-4+4-4+4+12-4-4-4-4+4-4+8+4-4-4</f>
        <v>4</v>
      </c>
    </row>
    <row r="151" s="6" customFormat="1" ht="40" customHeight="1" spans="1:10">
      <c r="A151" s="84"/>
      <c r="B151" s="155" t="s">
        <v>450</v>
      </c>
      <c r="C151" s="24" t="s">
        <v>437</v>
      </c>
      <c r="D151" s="146" t="s">
        <v>56</v>
      </c>
      <c r="E151" s="146" t="s">
        <v>13</v>
      </c>
      <c r="F151" s="146">
        <v>43</v>
      </c>
      <c r="G151" s="146">
        <v>62.5</v>
      </c>
      <c r="H151" s="156" t="s">
        <v>26</v>
      </c>
      <c r="I151" s="317" t="str">
        <f>VLOOKUP(H151,Sheet4!A:B,2,)</f>
        <v>Gloss Black Polisph Face</v>
      </c>
      <c r="J151" s="43">
        <f>8+4-4-4-4+8+4-4-4-1+1</f>
        <v>4</v>
      </c>
    </row>
    <row r="152" s="6" customFormat="1" ht="60" customHeight="1" spans="1:10">
      <c r="A152" s="82"/>
      <c r="B152" s="134" t="s">
        <v>451</v>
      </c>
      <c r="C152" s="148" t="s">
        <v>437</v>
      </c>
      <c r="D152" s="142" t="s">
        <v>31</v>
      </c>
      <c r="E152" s="142" t="s">
        <v>13</v>
      </c>
      <c r="F152" s="142">
        <v>38</v>
      </c>
      <c r="G152" s="142">
        <v>62.5</v>
      </c>
      <c r="H152" s="331" t="s">
        <v>452</v>
      </c>
      <c r="I152" s="331" t="e">
        <f>VLOOKUP(H152,Sheet4!A:B,2,)</f>
        <v>#N/A</v>
      </c>
      <c r="J152" s="42">
        <f>2-2+2-2</f>
        <v>0</v>
      </c>
    </row>
    <row r="153" s="6" customFormat="1" ht="60" customHeight="1" spans="1:10">
      <c r="A153" s="84"/>
      <c r="B153" s="155" t="s">
        <v>451</v>
      </c>
      <c r="C153" s="24" t="s">
        <v>437</v>
      </c>
      <c r="D153" s="146" t="s">
        <v>31</v>
      </c>
      <c r="E153" s="146" t="s">
        <v>13</v>
      </c>
      <c r="F153" s="146">
        <v>38</v>
      </c>
      <c r="G153" s="146">
        <v>62.5</v>
      </c>
      <c r="H153" s="317" t="s">
        <v>453</v>
      </c>
      <c r="I153" s="317" t="e">
        <f>VLOOKUP(H153,Sheet4!A:B,2,)</f>
        <v>#N/A</v>
      </c>
      <c r="J153" s="43">
        <f>2-2+2-2</f>
        <v>0</v>
      </c>
    </row>
    <row r="154" s="6" customFormat="1" ht="39" customHeight="1" spans="1:10">
      <c r="A154" s="82"/>
      <c r="B154" s="19" t="s">
        <v>454</v>
      </c>
      <c r="C154" s="20" t="s">
        <v>437</v>
      </c>
      <c r="D154" s="20" t="s">
        <v>19</v>
      </c>
      <c r="E154" s="20" t="s">
        <v>13</v>
      </c>
      <c r="F154" s="20">
        <v>43</v>
      </c>
      <c r="G154" s="20">
        <v>62.5</v>
      </c>
      <c r="H154" s="20" t="s">
        <v>21</v>
      </c>
      <c r="I154" s="66" t="str">
        <f>VLOOKUP(H154,Sheet4!A:B,2,)</f>
        <v>Black Machine Face</v>
      </c>
      <c r="J154" s="42">
        <v>0</v>
      </c>
    </row>
    <row r="155" s="6" customFormat="1" ht="39" customHeight="1" spans="1:10">
      <c r="A155" s="82"/>
      <c r="B155" s="19" t="s">
        <v>455</v>
      </c>
      <c r="C155" s="20" t="s">
        <v>437</v>
      </c>
      <c r="D155" s="20" t="s">
        <v>31</v>
      </c>
      <c r="E155" s="20" t="s">
        <v>13</v>
      </c>
      <c r="F155" s="20">
        <v>43</v>
      </c>
      <c r="G155" s="20">
        <v>62.5</v>
      </c>
      <c r="H155" s="20" t="s">
        <v>21</v>
      </c>
      <c r="I155" s="66" t="str">
        <f>VLOOKUP(H155,Sheet4!A:B,2,)</f>
        <v>Black Machine Face</v>
      </c>
      <c r="J155" s="42">
        <f>8-4-4</f>
        <v>0</v>
      </c>
    </row>
    <row r="156" s="6" customFormat="1" ht="39" customHeight="1" spans="1:10">
      <c r="A156" s="84"/>
      <c r="B156" s="155" t="s">
        <v>456</v>
      </c>
      <c r="C156" s="24" t="s">
        <v>437</v>
      </c>
      <c r="D156" s="146" t="s">
        <v>31</v>
      </c>
      <c r="E156" s="146" t="s">
        <v>13</v>
      </c>
      <c r="F156" s="146">
        <v>43</v>
      </c>
      <c r="G156" s="146">
        <v>62.5</v>
      </c>
      <c r="H156" s="156" t="s">
        <v>16</v>
      </c>
      <c r="I156" s="317" t="str">
        <f>VLOOKUP(H156,Sheet4!A:B,2,)</f>
        <v>GLOSS BLACK</v>
      </c>
      <c r="J156" s="43">
        <f>4-4+4</f>
        <v>4</v>
      </c>
    </row>
    <row r="157" s="6" customFormat="1" ht="37" customHeight="1" spans="1:10">
      <c r="A157" s="82"/>
      <c r="B157" s="19" t="s">
        <v>457</v>
      </c>
      <c r="C157" s="20" t="s">
        <v>458</v>
      </c>
      <c r="D157" s="20" t="s">
        <v>23</v>
      </c>
      <c r="E157" s="20" t="s">
        <v>13</v>
      </c>
      <c r="F157" s="20">
        <v>35</v>
      </c>
      <c r="G157" s="20">
        <v>62.5</v>
      </c>
      <c r="H157" s="20" t="s">
        <v>16</v>
      </c>
      <c r="I157" s="66" t="str">
        <f>VLOOKUP(H157,Sheet4!A:B,2,)</f>
        <v>GLOSS BLACK</v>
      </c>
      <c r="J157" s="42">
        <f>12-4-4-4+12-4</f>
        <v>8</v>
      </c>
    </row>
    <row r="158" s="6" customFormat="1" ht="37" customHeight="1" spans="1:10">
      <c r="A158" s="82"/>
      <c r="B158" s="19" t="s">
        <v>459</v>
      </c>
      <c r="C158" s="20" t="s">
        <v>458</v>
      </c>
      <c r="D158" s="20" t="s">
        <v>23</v>
      </c>
      <c r="E158" s="20" t="s">
        <v>13</v>
      </c>
      <c r="F158" s="20">
        <v>35</v>
      </c>
      <c r="G158" s="20">
        <v>62.5</v>
      </c>
      <c r="H158" s="20" t="s">
        <v>441</v>
      </c>
      <c r="I158" s="66" t="str">
        <f>VLOOKUP(H158,Sheet4!A:B,2,)</f>
        <v>MATTE GERY </v>
      </c>
      <c r="J158" s="42">
        <f>4-4+20-4+4-4-4-4+4+12-4-1+1-4-4-4</f>
        <v>8</v>
      </c>
    </row>
    <row r="159" s="6" customFormat="1" ht="37" customHeight="1" spans="1:10">
      <c r="A159" s="84"/>
      <c r="B159" s="155" t="s">
        <v>460</v>
      </c>
      <c r="C159" s="24" t="s">
        <v>458</v>
      </c>
      <c r="D159" s="146" t="s">
        <v>29</v>
      </c>
      <c r="E159" s="146" t="s">
        <v>13</v>
      </c>
      <c r="F159" s="146">
        <v>35</v>
      </c>
      <c r="G159" s="146">
        <v>62.5</v>
      </c>
      <c r="H159" s="156" t="s">
        <v>441</v>
      </c>
      <c r="I159" s="317" t="str">
        <f>VLOOKUP(H159,Sheet4!A:B,2,)</f>
        <v>MATTE GERY </v>
      </c>
      <c r="J159" s="43">
        <f>8-4+4-4+4-4+8-4-4-4+4+4+12-4-4</f>
        <v>12</v>
      </c>
    </row>
    <row r="160" s="6" customFormat="1" ht="37" customHeight="1" spans="1:10">
      <c r="A160" s="82"/>
      <c r="B160" s="19" t="s">
        <v>461</v>
      </c>
      <c r="C160" s="20" t="s">
        <v>437</v>
      </c>
      <c r="D160" s="20" t="s">
        <v>19</v>
      </c>
      <c r="E160" s="20" t="s">
        <v>13</v>
      </c>
      <c r="F160" s="20">
        <v>43</v>
      </c>
      <c r="G160" s="20">
        <v>62.5</v>
      </c>
      <c r="H160" s="20" t="s">
        <v>21</v>
      </c>
      <c r="I160" s="66" t="str">
        <f>VLOOKUP(H160,Sheet4!A:B,2,)</f>
        <v>Black Machine Face</v>
      </c>
      <c r="J160" s="42">
        <f>4-4+4-4+4-4+4-4+4</f>
        <v>4</v>
      </c>
    </row>
    <row r="161" s="6" customFormat="1" ht="37" customHeight="1" spans="1:10">
      <c r="A161" s="82"/>
      <c r="B161" s="19" t="s">
        <v>462</v>
      </c>
      <c r="C161" s="20" t="s">
        <v>437</v>
      </c>
      <c r="D161" s="20" t="s">
        <v>29</v>
      </c>
      <c r="E161" s="20" t="s">
        <v>13</v>
      </c>
      <c r="F161" s="20">
        <v>35</v>
      </c>
      <c r="G161" s="20">
        <v>62.5</v>
      </c>
      <c r="H161" s="20" t="s">
        <v>16</v>
      </c>
      <c r="I161" s="66" t="str">
        <f>VLOOKUP(H161,Sheet4!A:B,2,)</f>
        <v>GLOSS BLACK</v>
      </c>
      <c r="J161" s="42">
        <f>4-4+4</f>
        <v>4</v>
      </c>
    </row>
    <row r="162" s="6" customFormat="1" ht="37" customHeight="1" spans="1:10">
      <c r="A162" s="124"/>
      <c r="B162" s="318" t="s">
        <v>463</v>
      </c>
      <c r="C162" s="50" t="s">
        <v>437</v>
      </c>
      <c r="D162" s="319" t="s">
        <v>31</v>
      </c>
      <c r="E162" s="319" t="s">
        <v>13</v>
      </c>
      <c r="F162" s="319">
        <v>43</v>
      </c>
      <c r="G162" s="319">
        <v>62.5</v>
      </c>
      <c r="H162" s="163" t="s">
        <v>21</v>
      </c>
      <c r="I162" s="338" t="str">
        <f>VLOOKUP(H162,Sheet4!A:B,2,)</f>
        <v>Black Machine Face</v>
      </c>
      <c r="J162" s="51">
        <f>4+4-4-4+4-4+4-4+4</f>
        <v>4</v>
      </c>
    </row>
    <row r="163" s="6" customFormat="1" ht="111" customHeight="1" spans="1:10">
      <c r="A163" s="84"/>
      <c r="B163" s="155" t="s">
        <v>464</v>
      </c>
      <c r="C163" s="24" t="s">
        <v>437</v>
      </c>
      <c r="D163" s="146" t="s">
        <v>23</v>
      </c>
      <c r="E163" s="146" t="s">
        <v>13</v>
      </c>
      <c r="F163" s="146">
        <v>35</v>
      </c>
      <c r="G163" s="146">
        <v>62.56</v>
      </c>
      <c r="H163" s="156" t="s">
        <v>355</v>
      </c>
      <c r="I163" s="317" t="str">
        <f>VLOOKUP(H163,Sheet4!A:B,2,)</f>
        <v>Gloss Black SET WHITE </v>
      </c>
      <c r="J163" s="43">
        <f>8+4-4-4-4+8-4-4</f>
        <v>0</v>
      </c>
    </row>
    <row r="164" s="6" customFormat="1" ht="111" customHeight="1" spans="1:10">
      <c r="A164" s="84"/>
      <c r="B164" s="155" t="s">
        <v>465</v>
      </c>
      <c r="C164" s="24" t="s">
        <v>437</v>
      </c>
      <c r="D164" s="146" t="s">
        <v>19</v>
      </c>
      <c r="E164" s="146" t="s">
        <v>13</v>
      </c>
      <c r="F164" s="146">
        <v>40</v>
      </c>
      <c r="G164" s="146">
        <v>62.56</v>
      </c>
      <c r="H164" s="156" t="s">
        <v>441</v>
      </c>
      <c r="I164" s="317" t="str">
        <f>VLOOKUP(H164,Sheet4!A:B,2,)</f>
        <v>MATTE GERY </v>
      </c>
      <c r="J164" s="43">
        <f>8-4-4</f>
        <v>0</v>
      </c>
    </row>
    <row r="165" s="6" customFormat="1" ht="39" customHeight="1" spans="1:10">
      <c r="A165" s="82"/>
      <c r="B165" s="134" t="s">
        <v>466</v>
      </c>
      <c r="C165" s="20" t="s">
        <v>437</v>
      </c>
      <c r="D165" s="142" t="s">
        <v>19</v>
      </c>
      <c r="E165" s="142" t="s">
        <v>13</v>
      </c>
      <c r="F165" s="142">
        <v>38</v>
      </c>
      <c r="G165" s="142">
        <v>62.56</v>
      </c>
      <c r="H165" s="148" t="s">
        <v>21</v>
      </c>
      <c r="I165" s="331" t="str">
        <f>VLOOKUP(H165,Sheet4!A:B,2,)</f>
        <v>Black Machine Face</v>
      </c>
      <c r="J165" s="42">
        <f>12</f>
        <v>12</v>
      </c>
    </row>
    <row r="166" s="6" customFormat="1" ht="39" customHeight="1" spans="1:10">
      <c r="A166" s="82"/>
      <c r="B166" s="134" t="s">
        <v>467</v>
      </c>
      <c r="C166" s="20" t="s">
        <v>437</v>
      </c>
      <c r="D166" s="142" t="s">
        <v>31</v>
      </c>
      <c r="E166" s="142" t="s">
        <v>13</v>
      </c>
      <c r="F166" s="142">
        <v>38</v>
      </c>
      <c r="G166" s="142">
        <v>62.56</v>
      </c>
      <c r="H166" s="148" t="s">
        <v>21</v>
      </c>
      <c r="I166" s="331" t="str">
        <f>VLOOKUP(H166,Sheet4!A:B,2,)</f>
        <v>Black Machine Face</v>
      </c>
      <c r="J166" s="42">
        <f>12-4</f>
        <v>8</v>
      </c>
    </row>
    <row r="167" s="6" customFormat="1" ht="39" customHeight="1" spans="1:10">
      <c r="A167" s="84"/>
      <c r="B167" s="155" t="s">
        <v>468</v>
      </c>
      <c r="C167" s="24" t="s">
        <v>437</v>
      </c>
      <c r="D167" s="146" t="s">
        <v>56</v>
      </c>
      <c r="E167" s="146" t="s">
        <v>13</v>
      </c>
      <c r="F167" s="146">
        <v>38</v>
      </c>
      <c r="G167" s="146">
        <v>62.56</v>
      </c>
      <c r="H167" s="156" t="s">
        <v>21</v>
      </c>
      <c r="I167" s="317" t="str">
        <f>VLOOKUP(H167,Sheet4!A:B,2,)</f>
        <v>Black Machine Face</v>
      </c>
      <c r="J167" s="43">
        <f>8+4-4-4</f>
        <v>4</v>
      </c>
    </row>
    <row r="168" s="63" customFormat="1" ht="57" customHeight="1" spans="1:10">
      <c r="A168" s="44"/>
      <c r="B168" s="19" t="s">
        <v>469</v>
      </c>
      <c r="C168" s="20" t="s">
        <v>470</v>
      </c>
      <c r="D168" s="20" t="s">
        <v>58</v>
      </c>
      <c r="E168" s="20" t="s">
        <v>40</v>
      </c>
      <c r="F168" s="20">
        <v>32</v>
      </c>
      <c r="G168" s="20">
        <v>64.1</v>
      </c>
      <c r="H168" s="20" t="s">
        <v>159</v>
      </c>
      <c r="I168" s="20" t="str">
        <f>VLOOKUP(H168,Sheet4!A:B,2,)</f>
        <v>MATTE BLACK</v>
      </c>
      <c r="J168" s="42">
        <f>8-4+4-4</f>
        <v>4</v>
      </c>
    </row>
    <row r="169" s="63" customFormat="1" ht="57" customHeight="1" spans="1:10">
      <c r="A169" s="46"/>
      <c r="B169" s="23" t="s">
        <v>471</v>
      </c>
      <c r="C169" s="24" t="s">
        <v>470</v>
      </c>
      <c r="D169" s="24" t="s">
        <v>23</v>
      </c>
      <c r="E169" s="24" t="s">
        <v>40</v>
      </c>
      <c r="F169" s="24">
        <v>32</v>
      </c>
      <c r="G169" s="24">
        <v>64.1</v>
      </c>
      <c r="H169" s="24" t="s">
        <v>159</v>
      </c>
      <c r="I169" s="24" t="str">
        <f>VLOOKUP(H169,Sheet4!A:B,2,)</f>
        <v>MATTE BLACK</v>
      </c>
      <c r="J169" s="43">
        <f>12</f>
        <v>12</v>
      </c>
    </row>
    <row r="170" s="8" customFormat="1" ht="18" customHeight="1" spans="1:10">
      <c r="A170" s="82"/>
      <c r="B170" s="19" t="s">
        <v>472</v>
      </c>
      <c r="C170" s="20" t="s">
        <v>473</v>
      </c>
      <c r="D170" s="20" t="s">
        <v>58</v>
      </c>
      <c r="E170" s="20" t="s">
        <v>40</v>
      </c>
      <c r="F170" s="20">
        <v>32</v>
      </c>
      <c r="G170" s="20">
        <v>64.1</v>
      </c>
      <c r="H170" s="20" t="s">
        <v>102</v>
      </c>
      <c r="I170" s="20" t="str">
        <f>VLOOKUP(H170,Sheet4!A:B,2,)</f>
        <v>MATTE BLACK</v>
      </c>
      <c r="J170" s="42">
        <f>4-4+4-4</f>
        <v>0</v>
      </c>
    </row>
    <row r="171" s="8" customFormat="1" ht="18" customHeight="1" spans="1:10">
      <c r="A171" s="82"/>
      <c r="B171" s="19" t="s">
        <v>474</v>
      </c>
      <c r="C171" s="20" t="s">
        <v>473</v>
      </c>
      <c r="D171" s="20" t="s">
        <v>58</v>
      </c>
      <c r="E171" s="20" t="s">
        <v>40</v>
      </c>
      <c r="F171" s="20">
        <v>32</v>
      </c>
      <c r="G171" s="20">
        <v>64.1</v>
      </c>
      <c r="H171" s="20" t="s">
        <v>317</v>
      </c>
      <c r="I171" s="20" t="str">
        <f>VLOOKUP(H171,Sheet4!A:B,2,)</f>
        <v>MATTE GREY</v>
      </c>
      <c r="J171" s="42">
        <f>4-4+8-4-4</f>
        <v>0</v>
      </c>
    </row>
    <row r="172" s="8" customFormat="1" ht="18" customHeight="1" spans="1:10">
      <c r="A172" s="82"/>
      <c r="B172" s="19" t="s">
        <v>475</v>
      </c>
      <c r="C172" s="20" t="s">
        <v>473</v>
      </c>
      <c r="D172" s="20" t="s">
        <v>12</v>
      </c>
      <c r="E172" s="20" t="s">
        <v>40</v>
      </c>
      <c r="F172" s="20">
        <v>30</v>
      </c>
      <c r="G172" s="20">
        <v>64.1</v>
      </c>
      <c r="H172" s="20" t="s">
        <v>317</v>
      </c>
      <c r="I172" s="20" t="str">
        <f>VLOOKUP(H172,Sheet4!A:B,2,)</f>
        <v>MATTE GREY</v>
      </c>
      <c r="J172" s="42">
        <v>0</v>
      </c>
    </row>
    <row r="173" s="8" customFormat="1" ht="18" customHeight="1" spans="1:10">
      <c r="A173" s="82"/>
      <c r="B173" s="19" t="s">
        <v>476</v>
      </c>
      <c r="C173" s="20" t="s">
        <v>473</v>
      </c>
      <c r="D173" s="20" t="s">
        <v>23</v>
      </c>
      <c r="E173" s="20" t="s">
        <v>40</v>
      </c>
      <c r="F173" s="20">
        <v>32</v>
      </c>
      <c r="G173" s="20">
        <v>64.1</v>
      </c>
      <c r="H173" s="20" t="s">
        <v>159</v>
      </c>
      <c r="I173" s="20" t="str">
        <f>VLOOKUP(H173,Sheet4!A:B,2,)</f>
        <v>MATTE BLACK</v>
      </c>
      <c r="J173" s="42">
        <f>4-4</f>
        <v>0</v>
      </c>
    </row>
    <row r="174" s="8" customFormat="1" ht="18" customHeight="1" spans="1:10">
      <c r="A174" s="82"/>
      <c r="B174" s="19" t="s">
        <v>477</v>
      </c>
      <c r="C174" s="20" t="s">
        <v>473</v>
      </c>
      <c r="D174" s="20" t="s">
        <v>23</v>
      </c>
      <c r="E174" s="20" t="s">
        <v>40</v>
      </c>
      <c r="F174" s="20">
        <v>32</v>
      </c>
      <c r="G174" s="20">
        <v>64.1</v>
      </c>
      <c r="H174" s="20" t="s">
        <v>317</v>
      </c>
      <c r="I174" s="20" t="str">
        <f>VLOOKUP(H174,Sheet4!A:B,2,)</f>
        <v>MATTE GREY</v>
      </c>
      <c r="J174" s="42">
        <f>4-4+4-4+4-4+4-4+4-4</f>
        <v>0</v>
      </c>
    </row>
    <row r="175" s="8" customFormat="1" ht="18" customHeight="1" spans="1:10">
      <c r="A175" s="82"/>
      <c r="B175" s="19" t="s">
        <v>478</v>
      </c>
      <c r="C175" s="20" t="s">
        <v>473</v>
      </c>
      <c r="D175" s="20" t="s">
        <v>29</v>
      </c>
      <c r="E175" s="20" t="s">
        <v>40</v>
      </c>
      <c r="F175" s="20">
        <v>32</v>
      </c>
      <c r="G175" s="20">
        <v>64.1</v>
      </c>
      <c r="H175" s="20" t="s">
        <v>317</v>
      </c>
      <c r="I175" s="20" t="str">
        <f>VLOOKUP(H175,Sheet4!A:B,2,)</f>
        <v>MATTE GREY</v>
      </c>
      <c r="J175" s="42">
        <f>4</f>
        <v>4</v>
      </c>
    </row>
    <row r="176" s="8" customFormat="1" ht="19" customHeight="1" spans="1:10">
      <c r="A176" s="84"/>
      <c r="B176" s="23" t="s">
        <v>479</v>
      </c>
      <c r="C176" s="24" t="s">
        <v>473</v>
      </c>
      <c r="D176" s="24" t="s">
        <v>29</v>
      </c>
      <c r="E176" s="24" t="s">
        <v>40</v>
      </c>
      <c r="F176" s="24">
        <v>32</v>
      </c>
      <c r="G176" s="24">
        <v>64.1</v>
      </c>
      <c r="H176" s="24" t="s">
        <v>317</v>
      </c>
      <c r="I176" s="24" t="str">
        <f>VLOOKUP(H176,Sheet4!A:B,2,)</f>
        <v>MATTE GREY</v>
      </c>
      <c r="J176" s="43">
        <f>8-4+1-4</f>
        <v>1</v>
      </c>
    </row>
    <row r="177" s="8" customFormat="1" ht="42" customHeight="1" spans="1:10">
      <c r="A177" s="82"/>
      <c r="B177" s="19" t="s">
        <v>480</v>
      </c>
      <c r="C177" s="20" t="s">
        <v>481</v>
      </c>
      <c r="D177" s="20" t="s">
        <v>482</v>
      </c>
      <c r="E177" s="20" t="s">
        <v>40</v>
      </c>
      <c r="F177" s="20">
        <v>40</v>
      </c>
      <c r="G177" s="20">
        <v>64.1</v>
      </c>
      <c r="H177" s="20" t="s">
        <v>483</v>
      </c>
      <c r="I177" s="20" t="s">
        <v>484</v>
      </c>
      <c r="J177" s="42">
        <v>0</v>
      </c>
    </row>
    <row r="178" s="63" customFormat="1" ht="42" customHeight="1" spans="1:10">
      <c r="A178" s="44"/>
      <c r="B178" s="19" t="s">
        <v>485</v>
      </c>
      <c r="C178" s="20" t="s">
        <v>481</v>
      </c>
      <c r="D178" s="20" t="s">
        <v>225</v>
      </c>
      <c r="E178" s="20" t="s">
        <v>40</v>
      </c>
      <c r="F178" s="20">
        <v>38</v>
      </c>
      <c r="G178" s="20">
        <v>64.1</v>
      </c>
      <c r="H178" s="20" t="s">
        <v>159</v>
      </c>
      <c r="I178" s="20" t="s">
        <v>484</v>
      </c>
      <c r="J178" s="42">
        <f>8+2</f>
        <v>10</v>
      </c>
    </row>
    <row r="179" s="63" customFormat="1" ht="42" customHeight="1" spans="1:10">
      <c r="A179" s="46"/>
      <c r="B179" s="23" t="s">
        <v>486</v>
      </c>
      <c r="C179" s="24" t="s">
        <v>481</v>
      </c>
      <c r="D179" s="24" t="s">
        <v>487</v>
      </c>
      <c r="E179" s="24" t="s">
        <v>40</v>
      </c>
      <c r="F179" s="24">
        <v>43</v>
      </c>
      <c r="G179" s="24">
        <v>64.1</v>
      </c>
      <c r="H179" s="24" t="s">
        <v>159</v>
      </c>
      <c r="I179" s="24" t="str">
        <f>VLOOKUP(H179,Sheet4!A:B,2,)</f>
        <v>MATTE BLACK</v>
      </c>
      <c r="J179" s="43">
        <v>6</v>
      </c>
    </row>
    <row r="180" s="8" customFormat="1" ht="53" customHeight="1" spans="1:10">
      <c r="A180" s="82"/>
      <c r="B180" s="19" t="s">
        <v>488</v>
      </c>
      <c r="C180" s="20" t="s">
        <v>481</v>
      </c>
      <c r="D180" s="20" t="s">
        <v>489</v>
      </c>
      <c r="E180" s="20" t="s">
        <v>40</v>
      </c>
      <c r="F180" s="20">
        <v>40</v>
      </c>
      <c r="G180" s="20">
        <v>64.1</v>
      </c>
      <c r="H180" s="20" t="s">
        <v>102</v>
      </c>
      <c r="I180" s="20" t="str">
        <f>VLOOKUP(H180,Sheet4!A:B,2,)</f>
        <v>MATTE BLACK</v>
      </c>
      <c r="J180" s="42">
        <f>4-4+4-4</f>
        <v>0</v>
      </c>
    </row>
    <row r="181" s="8" customFormat="1" ht="53" customHeight="1" spans="1:10">
      <c r="A181" s="82"/>
      <c r="B181" s="19" t="s">
        <v>490</v>
      </c>
      <c r="C181" s="20" t="s">
        <v>481</v>
      </c>
      <c r="D181" s="20" t="s">
        <v>225</v>
      </c>
      <c r="E181" s="20" t="s">
        <v>40</v>
      </c>
      <c r="F181" s="20">
        <v>45</v>
      </c>
      <c r="G181" s="20">
        <v>64.1</v>
      </c>
      <c r="H181" s="20" t="s">
        <v>102</v>
      </c>
      <c r="I181" s="20" t="str">
        <f>VLOOKUP(H181,Sheet4!A:B,2,)</f>
        <v>MATTE BLACK</v>
      </c>
      <c r="J181" s="42">
        <f>8-4-4+8-4-4+4-4</f>
        <v>0</v>
      </c>
    </row>
    <row r="182" s="8" customFormat="1" ht="27" customHeight="1" spans="1:10">
      <c r="A182" s="86"/>
      <c r="B182" s="53" t="s">
        <v>491</v>
      </c>
      <c r="C182" s="54" t="s">
        <v>481</v>
      </c>
      <c r="D182" s="54" t="s">
        <v>29</v>
      </c>
      <c r="E182" s="54" t="s">
        <v>40</v>
      </c>
      <c r="F182" s="54">
        <v>30</v>
      </c>
      <c r="G182" s="54">
        <v>64.1</v>
      </c>
      <c r="H182" s="54" t="s">
        <v>102</v>
      </c>
      <c r="I182" s="54" t="str">
        <f>VLOOKUP(H182,Sheet4!A:B,2,)</f>
        <v>MATTE BLACK</v>
      </c>
      <c r="J182" s="55">
        <f>4-4</f>
        <v>0</v>
      </c>
    </row>
    <row r="183" s="8" customFormat="1" ht="27" customHeight="1" spans="1:10">
      <c r="A183" s="82"/>
      <c r="B183" s="19" t="s">
        <v>491</v>
      </c>
      <c r="C183" s="20" t="s">
        <v>481</v>
      </c>
      <c r="D183" s="20" t="s">
        <v>225</v>
      </c>
      <c r="E183" s="20" t="s">
        <v>40</v>
      </c>
      <c r="F183" s="20">
        <v>38</v>
      </c>
      <c r="G183" s="20">
        <v>64.1</v>
      </c>
      <c r="H183" s="20" t="s">
        <v>102</v>
      </c>
      <c r="I183" s="20" t="str">
        <f>VLOOKUP(H183,Sheet4!A:B,2,)</f>
        <v>MATTE BLACK</v>
      </c>
      <c r="J183" s="42">
        <f>4-4+4-4+4</f>
        <v>4</v>
      </c>
    </row>
    <row r="184" s="8" customFormat="1" ht="27" customHeight="1" spans="1:10">
      <c r="A184" s="82"/>
      <c r="B184" s="19" t="s">
        <v>492</v>
      </c>
      <c r="C184" s="20" t="s">
        <v>481</v>
      </c>
      <c r="D184" s="20" t="s">
        <v>39</v>
      </c>
      <c r="E184" s="20" t="s">
        <v>40</v>
      </c>
      <c r="F184" s="20">
        <v>40</v>
      </c>
      <c r="G184" s="20">
        <v>64.1</v>
      </c>
      <c r="H184" s="20" t="s">
        <v>102</v>
      </c>
      <c r="I184" s="20" t="str">
        <f>VLOOKUP(H184,Sheet4!A:B,2,)</f>
        <v>MATTE BLACK</v>
      </c>
      <c r="J184" s="42">
        <f>2-2+2</f>
        <v>2</v>
      </c>
    </row>
    <row r="185" s="63" customFormat="1" ht="27" customHeight="1" spans="1:10">
      <c r="A185" s="84"/>
      <c r="B185" s="23" t="s">
        <v>492</v>
      </c>
      <c r="C185" s="24" t="s">
        <v>481</v>
      </c>
      <c r="D185" s="24" t="s">
        <v>493</v>
      </c>
      <c r="E185" s="24" t="s">
        <v>40</v>
      </c>
      <c r="F185" s="24">
        <v>48</v>
      </c>
      <c r="G185" s="24">
        <v>64.1</v>
      </c>
      <c r="H185" s="24" t="s">
        <v>102</v>
      </c>
      <c r="I185" s="24" t="str">
        <f>VLOOKUP(H185,Sheet4!A:B,2,)</f>
        <v>MATTE BLACK</v>
      </c>
      <c r="J185" s="43">
        <f>2-2+2</f>
        <v>2</v>
      </c>
    </row>
    <row r="186" ht="98" customHeight="1" spans="1:10">
      <c r="A186" s="46"/>
      <c r="B186" s="23" t="s">
        <v>494</v>
      </c>
      <c r="C186" s="24" t="s">
        <v>495</v>
      </c>
      <c r="D186" s="24" t="s">
        <v>23</v>
      </c>
      <c r="E186" s="24" t="s">
        <v>40</v>
      </c>
      <c r="F186" s="24">
        <v>35</v>
      </c>
      <c r="G186" s="24">
        <v>64.1</v>
      </c>
      <c r="H186" s="24" t="s">
        <v>496</v>
      </c>
      <c r="I186" s="24" t="e">
        <f>VLOOKUP(H186,Sheet4!A:B,2,)</f>
        <v>#N/A</v>
      </c>
      <c r="J186" s="43">
        <v>1</v>
      </c>
    </row>
  </sheetData>
  <autoFilter xmlns:etc="http://www.wps.cn/officeDocument/2017/etCustomData" ref="A2:J186" etc:filterBottomFollowUsedRange="0">
    <extLst/>
  </autoFilter>
  <mergeCells count="2">
    <mergeCell ref="A4:A5"/>
    <mergeCell ref="A138:A140"/>
  </mergeCells>
  <pageMargins left="0.0388888888888889" right="0.0388888888888889" top="0.236111111111111" bottom="0.314583333333333" header="0.5" footer="0.118055555555556"/>
  <pageSetup paperSize="9" scale="62" orientation="landscape" horizontalDpi="600"/>
  <headerFooter>
    <oddFooter>&amp;C&amp;14新能源  第 &amp;P 页，共 &amp;N 页</oddFooter>
  </headerFooter>
  <rowBreaks count="13" manualBreakCount="13">
    <brk id="13" max="9" man="1"/>
    <brk id="27" max="9" man="1"/>
    <brk id="61" max="9" man="1"/>
    <brk id="64" max="9" man="1"/>
    <brk id="77" max="9" man="1"/>
    <brk id="88" max="9" man="1"/>
    <brk id="103" max="9" man="1"/>
    <brk id="114" max="9" man="1"/>
    <brk id="129" max="9" man="1"/>
    <brk id="137" max="9" man="1"/>
    <brk id="156" max="9" man="1"/>
    <brk id="167" max="9" man="1"/>
    <brk id="203" max="16383" man="1"/>
  </rowBreaks>
  <ignoredErrors>
    <ignoredError sqref="C82:C90 C59:C62 C66:C78" numberStoredAsText="1"/>
    <ignoredError sqref="I80:I89 I93:I101 I119:I124 I104:I106 I70:I78 I108:I112 I134 I131:I132 I186 I65" evalError="1"/>
  </ignoredErrors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indexed="13"/>
  </sheetPr>
  <dimension ref="A1:J97"/>
  <sheetViews>
    <sheetView zoomScaleSheetLayoutView="115" workbookViewId="0">
      <pane xSplit="1" ySplit="2" topLeftCell="B78" activePane="bottomRight" state="frozen"/>
      <selection/>
      <selection pane="topRight"/>
      <selection pane="bottomLeft"/>
      <selection pane="bottomRight" activeCell="F95" sqref="F95"/>
    </sheetView>
  </sheetViews>
  <sheetFormatPr defaultColWidth="9" defaultRowHeight="13.5"/>
  <cols>
    <col min="1" max="1" width="22.5" style="6" customWidth="1"/>
    <col min="2" max="2" width="19.9916666666667" style="90" customWidth="1"/>
    <col min="3" max="3" width="11.875" style="89" customWidth="1"/>
    <col min="4" max="4" width="13.3666666666667" style="89" customWidth="1"/>
    <col min="5" max="8" width="11.125" style="89" customWidth="1"/>
    <col min="9" max="9" width="21.7416666666667" style="89" customWidth="1"/>
    <col min="10" max="10" width="18.125" style="7" customWidth="1"/>
    <col min="11" max="16384" width="9" style="8"/>
  </cols>
  <sheetData>
    <row r="1" ht="87" customHeight="1"/>
    <row r="2" s="5" customFormat="1" ht="26" customHeight="1" spans="1:10">
      <c r="A2" s="93" t="s">
        <v>0</v>
      </c>
      <c r="B2" s="94" t="s">
        <v>1</v>
      </c>
      <c r="C2" s="94" t="s">
        <v>2</v>
      </c>
      <c r="D2" s="94" t="s">
        <v>3</v>
      </c>
      <c r="E2" s="94" t="s">
        <v>4</v>
      </c>
      <c r="F2" s="94" t="s">
        <v>5</v>
      </c>
      <c r="G2" s="94" t="s">
        <v>6</v>
      </c>
      <c r="H2" s="94" t="s">
        <v>7</v>
      </c>
      <c r="I2" s="94" t="s">
        <v>8</v>
      </c>
      <c r="J2" s="93" t="s">
        <v>9</v>
      </c>
    </row>
    <row r="3" s="6" customFormat="1" ht="56" customHeight="1" spans="1:10">
      <c r="A3" s="82"/>
      <c r="B3" s="134" t="s">
        <v>497</v>
      </c>
      <c r="C3" s="148" t="s">
        <v>498</v>
      </c>
      <c r="D3" s="148" t="s">
        <v>19</v>
      </c>
      <c r="E3" s="142" t="s">
        <v>13</v>
      </c>
      <c r="F3" s="142">
        <v>35</v>
      </c>
      <c r="G3" s="142">
        <v>63.3</v>
      </c>
      <c r="H3" s="142" t="s">
        <v>53</v>
      </c>
      <c r="I3" s="310" t="str">
        <f>VLOOKUP(H3,Sheet4!A:B,2,)</f>
        <v>polish</v>
      </c>
      <c r="J3" s="42">
        <f>8+4-4-4-4+4-4+4-4+8-4-4+4+4-4-4+8-4+20-4-4-4-4+4-4+16-4-2+28+2</f>
        <v>48</v>
      </c>
    </row>
    <row r="4" s="6" customFormat="1" ht="56" customHeight="1" spans="1:10">
      <c r="A4" s="84"/>
      <c r="B4" s="155" t="s">
        <v>499</v>
      </c>
      <c r="C4" s="156" t="s">
        <v>498</v>
      </c>
      <c r="D4" s="156" t="s">
        <v>31</v>
      </c>
      <c r="E4" s="146" t="s">
        <v>13</v>
      </c>
      <c r="F4" s="146">
        <v>35</v>
      </c>
      <c r="G4" s="146">
        <v>63.3</v>
      </c>
      <c r="H4" s="146" t="s">
        <v>53</v>
      </c>
      <c r="I4" s="311" t="str">
        <f>VLOOKUP(H4,Sheet4!A:B,2,)</f>
        <v>polish</v>
      </c>
      <c r="J4" s="43">
        <f>12-4+8-4+4-4-4-1-4+1+16+4-4-4-4-4-4-4+8</f>
        <v>8</v>
      </c>
    </row>
    <row r="5" s="6" customFormat="1" ht="109" customHeight="1" spans="1:10">
      <c r="A5" s="84"/>
      <c r="B5" s="155" t="s">
        <v>500</v>
      </c>
      <c r="C5" s="156" t="s">
        <v>498</v>
      </c>
      <c r="D5" s="156" t="s">
        <v>19</v>
      </c>
      <c r="E5" s="146" t="s">
        <v>13</v>
      </c>
      <c r="F5" s="146">
        <v>35</v>
      </c>
      <c r="G5" s="146">
        <v>63.3</v>
      </c>
      <c r="H5" s="146" t="s">
        <v>53</v>
      </c>
      <c r="I5" s="311" t="str">
        <f>VLOOKUP(H5,Sheet4!A:B,2,)</f>
        <v>polish</v>
      </c>
      <c r="J5" s="43">
        <f>8-4-4+8-4+8-4+4</f>
        <v>12</v>
      </c>
    </row>
    <row r="6" s="6" customFormat="1" ht="111" customHeight="1" spans="1:10">
      <c r="A6" s="312"/>
      <c r="B6" s="313" t="s">
        <v>501</v>
      </c>
      <c r="C6" s="314" t="s">
        <v>502</v>
      </c>
      <c r="D6" s="314" t="s">
        <v>23</v>
      </c>
      <c r="E6" s="315" t="s">
        <v>20</v>
      </c>
      <c r="F6" s="315">
        <v>25</v>
      </c>
      <c r="G6" s="315">
        <v>65.1</v>
      </c>
      <c r="H6" s="315" t="s">
        <v>16</v>
      </c>
      <c r="I6" s="316"/>
      <c r="J6" s="45">
        <v>4</v>
      </c>
    </row>
    <row r="7" s="6" customFormat="1" ht="103" customHeight="1" spans="1:10">
      <c r="A7" s="84"/>
      <c r="B7" s="313" t="s">
        <v>503</v>
      </c>
      <c r="C7" s="314" t="s">
        <v>504</v>
      </c>
      <c r="D7" s="314" t="s">
        <v>29</v>
      </c>
      <c r="E7" s="315" t="s">
        <v>20</v>
      </c>
      <c r="F7" s="315">
        <v>35</v>
      </c>
      <c r="G7" s="315">
        <v>65.1</v>
      </c>
      <c r="H7" s="315" t="s">
        <v>69</v>
      </c>
      <c r="I7" s="316" t="str">
        <f>VLOOKUP(H7,Sheet4!A:B,2,)</f>
        <v>GREY</v>
      </c>
      <c r="J7" s="45">
        <f>4-4</f>
        <v>0</v>
      </c>
    </row>
    <row r="8" s="6" customFormat="1" ht="95" customHeight="1" spans="1:10">
      <c r="A8" s="84"/>
      <c r="B8" s="155" t="s">
        <v>505</v>
      </c>
      <c r="C8" s="24" t="s">
        <v>506</v>
      </c>
      <c r="D8" s="146" t="s">
        <v>29</v>
      </c>
      <c r="E8" s="146" t="s">
        <v>20</v>
      </c>
      <c r="F8" s="146">
        <v>30</v>
      </c>
      <c r="G8" s="146">
        <v>65.1</v>
      </c>
      <c r="H8" s="156" t="s">
        <v>21</v>
      </c>
      <c r="I8" s="317" t="str">
        <f>VLOOKUP(H8,Sheet4!A:B,2,)</f>
        <v>Black Machine Face</v>
      </c>
      <c r="J8" s="43">
        <f>8-4-4+4</f>
        <v>4</v>
      </c>
    </row>
    <row r="9" s="6" customFormat="1" ht="95" customHeight="1" spans="1:10">
      <c r="A9" s="124"/>
      <c r="B9" s="318" t="s">
        <v>507</v>
      </c>
      <c r="C9" s="50" t="s">
        <v>508</v>
      </c>
      <c r="D9" s="319" t="s">
        <v>29</v>
      </c>
      <c r="E9" s="319" t="s">
        <v>40</v>
      </c>
      <c r="F9" s="319">
        <v>35</v>
      </c>
      <c r="G9" s="319">
        <v>73.1</v>
      </c>
      <c r="H9" s="163" t="s">
        <v>21</v>
      </c>
      <c r="I9" s="317" t="str">
        <f>VLOOKUP(H9,Sheet4!A:B,2,)</f>
        <v>Black Machine Face</v>
      </c>
      <c r="J9" s="51">
        <f>2+2-4</f>
        <v>0</v>
      </c>
    </row>
    <row r="10" s="6" customFormat="1" ht="111" customHeight="1" spans="1:10">
      <c r="A10" s="124"/>
      <c r="B10" s="318" t="s">
        <v>509</v>
      </c>
      <c r="C10" s="320" t="s">
        <v>510</v>
      </c>
      <c r="D10" s="321" t="s">
        <v>31</v>
      </c>
      <c r="E10" s="321" t="s">
        <v>40</v>
      </c>
      <c r="F10" s="321">
        <v>40</v>
      </c>
      <c r="G10" s="321">
        <v>73.1</v>
      </c>
      <c r="H10" s="322" t="s">
        <v>53</v>
      </c>
      <c r="I10" s="323" t="str">
        <f>VLOOKUP(H10,Sheet4!A:B,2,)</f>
        <v>polish</v>
      </c>
      <c r="J10" s="324">
        <f>4-4+4-4</f>
        <v>0</v>
      </c>
    </row>
    <row r="11" s="6" customFormat="1" ht="56" customHeight="1" spans="1:10">
      <c r="A11" s="82"/>
      <c r="B11" s="134" t="s">
        <v>511</v>
      </c>
      <c r="C11" s="325" t="s">
        <v>512</v>
      </c>
      <c r="D11" s="326" t="s">
        <v>29</v>
      </c>
      <c r="E11" s="326" t="s">
        <v>40</v>
      </c>
      <c r="F11" s="326">
        <v>30</v>
      </c>
      <c r="G11" s="326">
        <v>73.1</v>
      </c>
      <c r="H11" s="327" t="s">
        <v>513</v>
      </c>
      <c r="I11" s="328" t="str">
        <f>VLOOKUP(H11,Sheet4!A:B,2,)</f>
        <v>silver Machine Face</v>
      </c>
      <c r="J11" s="329">
        <f>4-4+4</f>
        <v>4</v>
      </c>
    </row>
    <row r="12" s="6" customFormat="1" ht="56" customHeight="1" spans="1:10">
      <c r="A12" s="124"/>
      <c r="B12" s="318" t="s">
        <v>514</v>
      </c>
      <c r="C12" s="330" t="s">
        <v>512</v>
      </c>
      <c r="D12" s="322" t="s">
        <v>31</v>
      </c>
      <c r="E12" s="321" t="s">
        <v>40</v>
      </c>
      <c r="F12" s="321">
        <v>35</v>
      </c>
      <c r="G12" s="321">
        <v>73.1</v>
      </c>
      <c r="H12" s="321" t="s">
        <v>513</v>
      </c>
      <c r="I12" s="323" t="str">
        <f>VLOOKUP(H12,Sheet4!A:B,2,)</f>
        <v>silver Machine Face</v>
      </c>
      <c r="J12" s="324">
        <f>7-4-3+8</f>
        <v>8</v>
      </c>
    </row>
    <row r="13" s="6" customFormat="1" ht="57" customHeight="1" spans="1:10">
      <c r="A13" s="82"/>
      <c r="B13" s="134" t="s">
        <v>515</v>
      </c>
      <c r="C13" s="148" t="s">
        <v>508</v>
      </c>
      <c r="D13" s="142" t="s">
        <v>29</v>
      </c>
      <c r="E13" s="142" t="s">
        <v>40</v>
      </c>
      <c r="F13" s="142">
        <v>30</v>
      </c>
      <c r="G13" s="142">
        <v>60.1</v>
      </c>
      <c r="H13" s="148" t="s">
        <v>21</v>
      </c>
      <c r="I13" s="331" t="str">
        <f>VLOOKUP(H13,Sheet4!A:B,2,)</f>
        <v>Black Machine Face</v>
      </c>
      <c r="J13" s="42">
        <f>8-4-4+4-4+4-4+4</f>
        <v>4</v>
      </c>
    </row>
    <row r="14" s="6" customFormat="1" ht="57" customHeight="1" spans="1:10">
      <c r="A14" s="84"/>
      <c r="B14" s="155" t="s">
        <v>516</v>
      </c>
      <c r="C14" s="24" t="s">
        <v>508</v>
      </c>
      <c r="D14" s="146" t="s">
        <v>31</v>
      </c>
      <c r="E14" s="146" t="s">
        <v>40</v>
      </c>
      <c r="F14" s="146">
        <v>35</v>
      </c>
      <c r="G14" s="146">
        <v>60.1</v>
      </c>
      <c r="H14" s="156" t="s">
        <v>21</v>
      </c>
      <c r="I14" s="317" t="str">
        <f>VLOOKUP(H14,Sheet4!A:B,2,)</f>
        <v>Black Machine Face</v>
      </c>
      <c r="J14" s="43">
        <f>8-4+8-4</f>
        <v>8</v>
      </c>
    </row>
    <row r="15" s="6" customFormat="1" ht="24" customHeight="1" spans="1:10">
      <c r="A15" s="82"/>
      <c r="B15" s="291" t="s">
        <v>517</v>
      </c>
      <c r="C15" s="332" t="s">
        <v>518</v>
      </c>
      <c r="D15" s="142" t="s">
        <v>19</v>
      </c>
      <c r="E15" s="142" t="s">
        <v>13</v>
      </c>
      <c r="F15" s="142">
        <v>36.5</v>
      </c>
      <c r="G15" s="142">
        <v>66.1</v>
      </c>
      <c r="H15" s="148" t="s">
        <v>53</v>
      </c>
      <c r="I15" s="331" t="s">
        <v>272</v>
      </c>
      <c r="J15" s="42">
        <v>16</v>
      </c>
    </row>
    <row r="16" s="6" customFormat="1" ht="24" customHeight="1" spans="1:10">
      <c r="A16" s="82"/>
      <c r="B16" s="291" t="s">
        <v>519</v>
      </c>
      <c r="C16" s="333" t="s">
        <v>518</v>
      </c>
      <c r="D16" s="142" t="s">
        <v>31</v>
      </c>
      <c r="E16" s="142" t="s">
        <v>13</v>
      </c>
      <c r="F16" s="142">
        <v>35</v>
      </c>
      <c r="G16" s="142">
        <v>66.1</v>
      </c>
      <c r="H16" s="148" t="s">
        <v>53</v>
      </c>
      <c r="I16" s="331" t="str">
        <f>VLOOKUP(H16,Sheet4!A:B,2,)</f>
        <v>polish</v>
      </c>
      <c r="J16" s="42">
        <f>8-4-2-2+6-2-2-2+16-4-4-4-4+18-2-2-2-2-2-4</f>
        <v>4</v>
      </c>
    </row>
    <row r="17" s="6" customFormat="1" ht="24" customHeight="1" spans="1:10">
      <c r="A17" s="82"/>
      <c r="B17" s="291" t="s">
        <v>520</v>
      </c>
      <c r="C17" s="333" t="s">
        <v>518</v>
      </c>
      <c r="D17" s="142" t="s">
        <v>39</v>
      </c>
      <c r="E17" s="142" t="s">
        <v>13</v>
      </c>
      <c r="F17" s="142">
        <v>38</v>
      </c>
      <c r="G17" s="142">
        <v>66.1</v>
      </c>
      <c r="H17" s="148" t="s">
        <v>53</v>
      </c>
      <c r="I17" s="331" t="s">
        <v>272</v>
      </c>
      <c r="J17" s="42">
        <f>8-4-2-2+6-2-2-2+10-2-2-2-2-2</f>
        <v>0</v>
      </c>
    </row>
    <row r="18" s="6" customFormat="1" ht="24" customHeight="1" spans="1:10">
      <c r="A18" s="82"/>
      <c r="B18" s="291" t="s">
        <v>521</v>
      </c>
      <c r="C18" s="333" t="s">
        <v>518</v>
      </c>
      <c r="D18" s="142" t="s">
        <v>56</v>
      </c>
      <c r="E18" s="142" t="s">
        <v>13</v>
      </c>
      <c r="F18" s="142">
        <v>35</v>
      </c>
      <c r="G18" s="142">
        <v>66.1</v>
      </c>
      <c r="H18" s="148" t="s">
        <v>53</v>
      </c>
      <c r="I18" s="331" t="s">
        <v>272</v>
      </c>
      <c r="J18" s="42">
        <f>6-4</f>
        <v>2</v>
      </c>
    </row>
    <row r="19" s="6" customFormat="1" ht="24" customHeight="1" spans="1:10">
      <c r="A19" s="82"/>
      <c r="B19" s="291" t="s">
        <v>522</v>
      </c>
      <c r="C19" s="333" t="s">
        <v>518</v>
      </c>
      <c r="D19" s="142" t="s">
        <v>34</v>
      </c>
      <c r="E19" s="142" t="s">
        <v>13</v>
      </c>
      <c r="F19" s="142">
        <v>40</v>
      </c>
      <c r="G19" s="142">
        <v>66.1</v>
      </c>
      <c r="H19" s="148" t="s">
        <v>53</v>
      </c>
      <c r="I19" s="331" t="s">
        <v>272</v>
      </c>
      <c r="J19" s="42">
        <f>6-4</f>
        <v>2</v>
      </c>
    </row>
    <row r="20" s="6" customFormat="1" ht="24" customHeight="1" spans="1:10">
      <c r="A20" s="334"/>
      <c r="B20" s="335" t="s">
        <v>523</v>
      </c>
      <c r="C20" s="333" t="s">
        <v>518</v>
      </c>
      <c r="D20" s="142" t="s">
        <v>56</v>
      </c>
      <c r="E20" s="142" t="s">
        <v>13</v>
      </c>
      <c r="F20" s="142">
        <v>35</v>
      </c>
      <c r="G20" s="142">
        <v>66.1</v>
      </c>
      <c r="H20" s="148" t="s">
        <v>53</v>
      </c>
      <c r="I20" s="331" t="str">
        <f>VLOOKUP(H20,Sheet4!A:B,2,)</f>
        <v>polish</v>
      </c>
      <c r="J20" s="42">
        <f>8-4-2-2+4-2-2+2</f>
        <v>2</v>
      </c>
    </row>
    <row r="21" s="6" customFormat="1" ht="24" customHeight="1" spans="1:10">
      <c r="A21" s="124"/>
      <c r="B21" s="336" t="s">
        <v>524</v>
      </c>
      <c r="C21" s="337" t="s">
        <v>518</v>
      </c>
      <c r="D21" s="319" t="s">
        <v>343</v>
      </c>
      <c r="E21" s="319" t="s">
        <v>13</v>
      </c>
      <c r="F21" s="319">
        <v>40</v>
      </c>
      <c r="G21" s="319">
        <v>66.1</v>
      </c>
      <c r="H21" s="163" t="s">
        <v>53</v>
      </c>
      <c r="I21" s="338" t="s">
        <v>272</v>
      </c>
      <c r="J21" s="51">
        <f>8-4-2-2+4-2-2+2</f>
        <v>2</v>
      </c>
    </row>
    <row r="22" s="6" customFormat="1" ht="35" customHeight="1" spans="1:10">
      <c r="A22" s="82"/>
      <c r="B22" s="134" t="s">
        <v>525</v>
      </c>
      <c r="C22" s="20" t="s">
        <v>518</v>
      </c>
      <c r="D22" s="142" t="s">
        <v>19</v>
      </c>
      <c r="E22" s="142" t="s">
        <v>13</v>
      </c>
      <c r="F22" s="142">
        <v>35</v>
      </c>
      <c r="G22" s="142">
        <v>66.1</v>
      </c>
      <c r="H22" s="148" t="s">
        <v>16</v>
      </c>
      <c r="I22" s="331" t="str">
        <f>VLOOKUP(H22,Sheet4!A:B,2,)</f>
        <v>GLOSS BLACK</v>
      </c>
      <c r="J22" s="42">
        <f>12-4+4-4</f>
        <v>8</v>
      </c>
    </row>
    <row r="23" s="6" customFormat="1" ht="35" customHeight="1" spans="1:10">
      <c r="A23" s="82"/>
      <c r="B23" s="134" t="s">
        <v>526</v>
      </c>
      <c r="C23" s="20" t="s">
        <v>518</v>
      </c>
      <c r="D23" s="142" t="s">
        <v>31</v>
      </c>
      <c r="E23" s="142" t="s">
        <v>13</v>
      </c>
      <c r="F23" s="142">
        <v>35</v>
      </c>
      <c r="G23" s="142">
        <v>66.1</v>
      </c>
      <c r="H23" s="148" t="s">
        <v>16</v>
      </c>
      <c r="I23" s="331" t="s">
        <v>527</v>
      </c>
      <c r="J23" s="42">
        <v>6</v>
      </c>
    </row>
    <row r="24" s="6" customFormat="1" ht="35" customHeight="1" spans="1:10">
      <c r="A24" s="84"/>
      <c r="B24" s="155" t="s">
        <v>528</v>
      </c>
      <c r="C24" s="24" t="s">
        <v>518</v>
      </c>
      <c r="D24" s="146" t="s">
        <v>39</v>
      </c>
      <c r="E24" s="146" t="s">
        <v>13</v>
      </c>
      <c r="F24" s="146">
        <v>40</v>
      </c>
      <c r="G24" s="146">
        <v>66.1</v>
      </c>
      <c r="H24" s="156" t="s">
        <v>16</v>
      </c>
      <c r="I24" s="317" t="str">
        <f>VLOOKUP(H24,Sheet4!A:B,2,)</f>
        <v>GLOSS BLACK</v>
      </c>
      <c r="J24" s="43">
        <v>2</v>
      </c>
    </row>
    <row r="25" s="6" customFormat="1" ht="38" customHeight="1" spans="1:10">
      <c r="A25" s="82"/>
      <c r="B25" s="134" t="s">
        <v>529</v>
      </c>
      <c r="C25" s="20" t="s">
        <v>518</v>
      </c>
      <c r="D25" s="142" t="s">
        <v>19</v>
      </c>
      <c r="E25" s="142" t="s">
        <v>13</v>
      </c>
      <c r="F25" s="142">
        <v>35</v>
      </c>
      <c r="G25" s="142">
        <v>66.1</v>
      </c>
      <c r="H25" s="148" t="s">
        <v>21</v>
      </c>
      <c r="I25" s="331" t="str">
        <f>VLOOKUP(H25,Sheet4!A:B,2,)</f>
        <v>Black Machine Face</v>
      </c>
      <c r="J25" s="42">
        <f>4+4-4+4-4-4+12-4</f>
        <v>8</v>
      </c>
    </row>
    <row r="26" s="6" customFormat="1" ht="38" customHeight="1" spans="1:10">
      <c r="A26" s="82"/>
      <c r="B26" s="134" t="s">
        <v>530</v>
      </c>
      <c r="C26" s="20" t="s">
        <v>518</v>
      </c>
      <c r="D26" s="142" t="s">
        <v>31</v>
      </c>
      <c r="E26" s="142" t="s">
        <v>13</v>
      </c>
      <c r="F26" s="142">
        <v>35</v>
      </c>
      <c r="G26" s="142">
        <v>66.1</v>
      </c>
      <c r="H26" s="148" t="s">
        <v>21</v>
      </c>
      <c r="I26" s="331" t="str">
        <f>VLOOKUP(H26,Sheet4!A:B,2,)</f>
        <v>Black Machine Face</v>
      </c>
      <c r="J26" s="42">
        <f>6-2-2</f>
        <v>2</v>
      </c>
    </row>
    <row r="27" s="6" customFormat="1" ht="38" customHeight="1" spans="1:10">
      <c r="A27" s="84"/>
      <c r="B27" s="155" t="s">
        <v>531</v>
      </c>
      <c r="C27" s="24" t="s">
        <v>518</v>
      </c>
      <c r="D27" s="146" t="s">
        <v>39</v>
      </c>
      <c r="E27" s="146" t="s">
        <v>13</v>
      </c>
      <c r="F27" s="146">
        <v>40</v>
      </c>
      <c r="G27" s="146">
        <v>66.1</v>
      </c>
      <c r="H27" s="156" t="s">
        <v>21</v>
      </c>
      <c r="I27" s="317" t="str">
        <f>VLOOKUP(H27,Sheet4!A:B,2,)</f>
        <v>Black Machine Face</v>
      </c>
      <c r="J27" s="43">
        <f>6-2-2</f>
        <v>2</v>
      </c>
    </row>
    <row r="28" s="6" customFormat="1" ht="37" customHeight="1" spans="1:10">
      <c r="A28" s="82"/>
      <c r="B28" s="134" t="s">
        <v>532</v>
      </c>
      <c r="C28" s="20" t="s">
        <v>518</v>
      </c>
      <c r="D28" s="142" t="s">
        <v>19</v>
      </c>
      <c r="E28" s="142" t="s">
        <v>13</v>
      </c>
      <c r="F28" s="142">
        <v>35</v>
      </c>
      <c r="G28" s="142">
        <v>66.1</v>
      </c>
      <c r="H28" s="148" t="s">
        <v>21</v>
      </c>
      <c r="I28" s="331" t="str">
        <f>VLOOKUP(H28,Sheet4!A:B,2,)</f>
        <v>Black Machine Face</v>
      </c>
      <c r="J28" s="42">
        <f>12-4-4-4+12-4-4-4+28-4-4-4-4+4+8+8+4-4-4-4-4-4-4-4-4</f>
        <v>4</v>
      </c>
    </row>
    <row r="29" s="6" customFormat="1" ht="37" customHeight="1" spans="1:10">
      <c r="A29" s="82"/>
      <c r="B29" s="134" t="s">
        <v>533</v>
      </c>
      <c r="C29" s="20" t="s">
        <v>518</v>
      </c>
      <c r="D29" s="142" t="s">
        <v>31</v>
      </c>
      <c r="E29" s="142" t="s">
        <v>13</v>
      </c>
      <c r="F29" s="142">
        <v>35</v>
      </c>
      <c r="G29" s="142">
        <v>66.1</v>
      </c>
      <c r="H29" s="148" t="s">
        <v>21</v>
      </c>
      <c r="I29" s="331" t="str">
        <f>VLOOKUP(H29,Sheet4!A:B,2,)</f>
        <v>Black Machine Face</v>
      </c>
      <c r="J29" s="42">
        <f>12-2-2-2-2-2</f>
        <v>2</v>
      </c>
    </row>
    <row r="30" s="6" customFormat="1" ht="37" customHeight="1" spans="1:10">
      <c r="A30" s="84"/>
      <c r="B30" s="155" t="s">
        <v>534</v>
      </c>
      <c r="C30" s="24" t="s">
        <v>518</v>
      </c>
      <c r="D30" s="146" t="s">
        <v>39</v>
      </c>
      <c r="E30" s="146" t="s">
        <v>13</v>
      </c>
      <c r="F30" s="146">
        <v>40</v>
      </c>
      <c r="G30" s="146">
        <v>66.1</v>
      </c>
      <c r="H30" s="156" t="s">
        <v>21</v>
      </c>
      <c r="I30" s="317" t="str">
        <f>VLOOKUP(H30,Sheet4!A:B,2,)</f>
        <v>Black Machine Face</v>
      </c>
      <c r="J30" s="43">
        <f>12-2-2-2-2-2</f>
        <v>2</v>
      </c>
    </row>
    <row r="31" s="6" customFormat="1" ht="56" customHeight="1" spans="1:10">
      <c r="A31" s="82"/>
      <c r="B31" s="134" t="s">
        <v>535</v>
      </c>
      <c r="C31" s="20" t="s">
        <v>518</v>
      </c>
      <c r="D31" s="142" t="s">
        <v>31</v>
      </c>
      <c r="E31" s="142" t="s">
        <v>13</v>
      </c>
      <c r="F31" s="142">
        <v>35</v>
      </c>
      <c r="G31" s="142">
        <v>66.1</v>
      </c>
      <c r="H31" s="148" t="s">
        <v>53</v>
      </c>
      <c r="I31" s="331" t="str">
        <f>VLOOKUP(H31,Sheet4!A:B,2,)</f>
        <v>polish</v>
      </c>
      <c r="J31" s="42">
        <f>6-2-2+4-2</f>
        <v>4</v>
      </c>
    </row>
    <row r="32" s="6" customFormat="1" ht="48" customHeight="1" spans="1:10">
      <c r="A32" s="82"/>
      <c r="B32" s="134" t="s">
        <v>536</v>
      </c>
      <c r="C32" s="20" t="s">
        <v>518</v>
      </c>
      <c r="D32" s="142" t="s">
        <v>39</v>
      </c>
      <c r="E32" s="142" t="s">
        <v>13</v>
      </c>
      <c r="F32" s="142">
        <v>40</v>
      </c>
      <c r="G32" s="142">
        <v>66.1</v>
      </c>
      <c r="H32" s="148" t="s">
        <v>53</v>
      </c>
      <c r="I32" s="331" t="str">
        <f>VLOOKUP(H32,Sheet4!A:B,2,)</f>
        <v>polish</v>
      </c>
      <c r="J32" s="42">
        <f>6-2-2+4-2</f>
        <v>4</v>
      </c>
    </row>
    <row r="33" s="6" customFormat="1" ht="46" customHeight="1" spans="1:10">
      <c r="A33" s="339"/>
      <c r="B33" s="340" t="s">
        <v>537</v>
      </c>
      <c r="C33" s="305" t="s">
        <v>518</v>
      </c>
      <c r="D33" s="341" t="s">
        <v>31</v>
      </c>
      <c r="E33" s="341" t="s">
        <v>13</v>
      </c>
      <c r="F33" s="341">
        <v>35</v>
      </c>
      <c r="G33" s="341">
        <v>66.1</v>
      </c>
      <c r="H33" s="342" t="s">
        <v>53</v>
      </c>
      <c r="I33" s="343" t="str">
        <f>VLOOKUP(H33,Sheet4!A:B,2,)</f>
        <v>polish</v>
      </c>
      <c r="J33" s="344">
        <f>6-2</f>
        <v>4</v>
      </c>
    </row>
    <row r="34" s="6" customFormat="1" ht="46" customHeight="1" spans="1:10">
      <c r="A34" s="82"/>
      <c r="B34" s="134" t="s">
        <v>538</v>
      </c>
      <c r="C34" s="20" t="s">
        <v>518</v>
      </c>
      <c r="D34" s="142" t="s">
        <v>39</v>
      </c>
      <c r="E34" s="142" t="s">
        <v>13</v>
      </c>
      <c r="F34" s="142">
        <v>40</v>
      </c>
      <c r="G34" s="142">
        <v>66.1</v>
      </c>
      <c r="H34" s="148" t="s">
        <v>53</v>
      </c>
      <c r="I34" s="331" t="str">
        <f>VLOOKUP(H34,Sheet4!A:B,2,)</f>
        <v>polish</v>
      </c>
      <c r="J34" s="42">
        <f>4+2-2</f>
        <v>4</v>
      </c>
    </row>
    <row r="35" s="6" customFormat="1" ht="46" customHeight="1" spans="1:10">
      <c r="A35" s="82"/>
      <c r="B35" s="134" t="s">
        <v>539</v>
      </c>
      <c r="C35" s="20" t="s">
        <v>518</v>
      </c>
      <c r="D35" s="142" t="s">
        <v>31</v>
      </c>
      <c r="E35" s="142" t="s">
        <v>13</v>
      </c>
      <c r="F35" s="142">
        <v>35</v>
      </c>
      <c r="G35" s="142">
        <v>66.1</v>
      </c>
      <c r="H35" s="148" t="s">
        <v>21</v>
      </c>
      <c r="I35" s="331" t="str">
        <f>VLOOKUP(H35,Sheet4!A:B,2,)</f>
        <v>Black Machine Face</v>
      </c>
      <c r="J35" s="42">
        <f>6-2-4</f>
        <v>0</v>
      </c>
    </row>
    <row r="36" s="6" customFormat="1" ht="46" customHeight="1" spans="1:10">
      <c r="A36" s="124"/>
      <c r="B36" s="318" t="s">
        <v>540</v>
      </c>
      <c r="C36" s="50" t="s">
        <v>518</v>
      </c>
      <c r="D36" s="319" t="s">
        <v>39</v>
      </c>
      <c r="E36" s="319" t="s">
        <v>13</v>
      </c>
      <c r="F36" s="319">
        <v>40</v>
      </c>
      <c r="G36" s="319">
        <v>66.1</v>
      </c>
      <c r="H36" s="163" t="s">
        <v>21</v>
      </c>
      <c r="I36" s="338" t="str">
        <f>VLOOKUP(H36,Sheet4!A:B,2,)</f>
        <v>Black Machine Face</v>
      </c>
      <c r="J36" s="51">
        <f>6-2</f>
        <v>4</v>
      </c>
    </row>
    <row r="37" s="6" customFormat="1" ht="103" customHeight="1" spans="1:10">
      <c r="A37" s="84"/>
      <c r="B37" s="155" t="s">
        <v>541</v>
      </c>
      <c r="C37" s="156" t="s">
        <v>518</v>
      </c>
      <c r="D37" s="156" t="s">
        <v>31</v>
      </c>
      <c r="E37" s="146" t="s">
        <v>13</v>
      </c>
      <c r="F37" s="146">
        <v>35</v>
      </c>
      <c r="G37" s="146">
        <v>66.1</v>
      </c>
      <c r="H37" s="146" t="s">
        <v>16</v>
      </c>
      <c r="I37" s="311" t="str">
        <f>VLOOKUP(H37,Sheet4!A:B,2,)</f>
        <v>GLOSS BLACK</v>
      </c>
      <c r="J37" s="43">
        <f>4-4</f>
        <v>0</v>
      </c>
    </row>
    <row r="38" s="6" customFormat="1" ht="56" customHeight="1" spans="1:10">
      <c r="A38" s="82"/>
      <c r="B38" s="134" t="s">
        <v>542</v>
      </c>
      <c r="C38" s="148" t="s">
        <v>518</v>
      </c>
      <c r="D38" s="148" t="s">
        <v>31</v>
      </c>
      <c r="E38" s="142" t="s">
        <v>13</v>
      </c>
      <c r="F38" s="142">
        <v>35</v>
      </c>
      <c r="G38" s="142">
        <v>66.1</v>
      </c>
      <c r="H38" s="142" t="s">
        <v>67</v>
      </c>
      <c r="I38" s="310" t="str">
        <f>VLOOKUP(H38,Sheet4!A:B,2,)</f>
        <v>silver plating</v>
      </c>
      <c r="J38" s="42">
        <f>2-2+2-2+4-2+2-2+4</f>
        <v>6</v>
      </c>
    </row>
    <row r="39" s="6" customFormat="1" ht="56" customHeight="1" spans="1:10">
      <c r="A39" s="84"/>
      <c r="B39" s="155" t="s">
        <v>543</v>
      </c>
      <c r="C39" s="156" t="s">
        <v>518</v>
      </c>
      <c r="D39" s="24" t="s">
        <v>39</v>
      </c>
      <c r="E39" s="146" t="s">
        <v>13</v>
      </c>
      <c r="F39" s="146">
        <v>40</v>
      </c>
      <c r="G39" s="146">
        <v>66.1</v>
      </c>
      <c r="H39" s="146" t="s">
        <v>67</v>
      </c>
      <c r="I39" s="311" t="str">
        <f>VLOOKUP(H39,Sheet4!A:B,2,)</f>
        <v>silver plating</v>
      </c>
      <c r="J39" s="43">
        <f>2-2+2-2+4-2+2-2+4</f>
        <v>6</v>
      </c>
    </row>
    <row r="40" s="6" customFormat="1" ht="49" customHeight="1" spans="1:10">
      <c r="A40" s="86"/>
      <c r="B40" s="286" t="s">
        <v>544</v>
      </c>
      <c r="C40" s="345" t="s">
        <v>518</v>
      </c>
      <c r="D40" s="287" t="s">
        <v>31</v>
      </c>
      <c r="E40" s="287" t="s">
        <v>13</v>
      </c>
      <c r="F40" s="287">
        <v>35</v>
      </c>
      <c r="G40" s="287">
        <v>66.1</v>
      </c>
      <c r="H40" s="345" t="s">
        <v>53</v>
      </c>
      <c r="I40" s="346" t="str">
        <f>VLOOKUP(H40,Sheet4!A:B,2,)</f>
        <v>polish</v>
      </c>
      <c r="J40" s="55">
        <f>4-2-2+2+2-2</f>
        <v>2</v>
      </c>
    </row>
    <row r="41" s="6" customFormat="1" ht="49" customHeight="1" spans="1:10">
      <c r="A41" s="82"/>
      <c r="B41" s="134" t="s">
        <v>545</v>
      </c>
      <c r="C41" s="20" t="s">
        <v>518</v>
      </c>
      <c r="D41" s="142" t="s">
        <v>39</v>
      </c>
      <c r="E41" s="142" t="s">
        <v>13</v>
      </c>
      <c r="F41" s="142">
        <v>40</v>
      </c>
      <c r="G41" s="142">
        <v>66.1</v>
      </c>
      <c r="H41" s="148" t="s">
        <v>53</v>
      </c>
      <c r="I41" s="331" t="str">
        <f>VLOOKUP(H41,Sheet4!A:B,2,)</f>
        <v>polish</v>
      </c>
      <c r="J41" s="42">
        <f>4-2-2+2+2-2</f>
        <v>2</v>
      </c>
    </row>
    <row r="42" s="6" customFormat="1" ht="25" customHeight="1" spans="1:10">
      <c r="A42" s="86"/>
      <c r="B42" s="286" t="s">
        <v>546</v>
      </c>
      <c r="C42" s="54" t="s">
        <v>518</v>
      </c>
      <c r="D42" s="287" t="s">
        <v>19</v>
      </c>
      <c r="E42" s="287" t="s">
        <v>13</v>
      </c>
      <c r="F42" s="287">
        <v>35</v>
      </c>
      <c r="G42" s="287">
        <v>66.1</v>
      </c>
      <c r="H42" s="345" t="s">
        <v>513</v>
      </c>
      <c r="I42" s="346" t="str">
        <f>VLOOKUP(H42,Sheet4!A:B,2,)</f>
        <v>silver Machine Face</v>
      </c>
      <c r="J42" s="55">
        <f>8+4-4-4-4+12-4-4+8-4-4-4+4+16-4-4-4-4-4</f>
        <v>0</v>
      </c>
    </row>
    <row r="43" s="6" customFormat="1" ht="25" customHeight="1" spans="1:10">
      <c r="A43" s="82"/>
      <c r="B43" s="134" t="s">
        <v>547</v>
      </c>
      <c r="C43" s="148" t="s">
        <v>518</v>
      </c>
      <c r="D43" s="142" t="s">
        <v>31</v>
      </c>
      <c r="E43" s="142" t="s">
        <v>13</v>
      </c>
      <c r="F43" s="142">
        <v>35</v>
      </c>
      <c r="G43" s="142">
        <v>66.1</v>
      </c>
      <c r="H43" s="148" t="s">
        <v>513</v>
      </c>
      <c r="I43" s="331" t="str">
        <f>VLOOKUP(H43,Sheet4!A:B,2,)</f>
        <v>silver Machine Face</v>
      </c>
      <c r="J43" s="42">
        <f>18-2+2-4-4-2-2-2-4+6-2-2-2+2-2+9-1-2+2-2-2-2-2+2-2+10-2-2-4+2-2+4-2-2+16-4-4-4-4+4-4+4-4+8-2-2-2-2+10-2-4</f>
        <v>6</v>
      </c>
    </row>
    <row r="44" s="6" customFormat="1" ht="25" customHeight="1" spans="1:10">
      <c r="A44" s="82"/>
      <c r="B44" s="134" t="s">
        <v>548</v>
      </c>
      <c r="C44" s="20" t="s">
        <v>518</v>
      </c>
      <c r="D44" s="142" t="s">
        <v>39</v>
      </c>
      <c r="E44" s="142" t="s">
        <v>13</v>
      </c>
      <c r="F44" s="142">
        <v>40</v>
      </c>
      <c r="G44" s="142">
        <v>66.1</v>
      </c>
      <c r="H44" s="148" t="s">
        <v>513</v>
      </c>
      <c r="I44" s="331" t="str">
        <f>VLOOKUP(H44,Sheet4!A:B,2,)</f>
        <v>silver Machine Face</v>
      </c>
      <c r="J44" s="42">
        <f>6-2+2-2-2-2+6-2-2-2+2-2+8-2+2-2-2-2-2+2+4-2-4+4-2-2+2-2+4-2-2+8-2-2-2-2+10-2</f>
        <v>8</v>
      </c>
    </row>
    <row r="45" s="6" customFormat="1" ht="25" customHeight="1" spans="1:10">
      <c r="A45" s="82"/>
      <c r="B45" s="134" t="s">
        <v>549</v>
      </c>
      <c r="C45" s="20" t="s">
        <v>518</v>
      </c>
      <c r="D45" s="142" t="s">
        <v>56</v>
      </c>
      <c r="E45" s="142" t="s">
        <v>13</v>
      </c>
      <c r="F45" s="142">
        <v>35</v>
      </c>
      <c r="G45" s="142">
        <v>66.1</v>
      </c>
      <c r="H45" s="148" t="s">
        <v>513</v>
      </c>
      <c r="I45" s="331" t="str">
        <f>VLOOKUP(H45,Sheet4!A:B,2,)</f>
        <v>silver Machine Face</v>
      </c>
      <c r="J45" s="42">
        <v>0</v>
      </c>
    </row>
    <row r="46" s="6" customFormat="1" ht="25" customHeight="1" spans="1:10">
      <c r="A46" s="84"/>
      <c r="B46" s="155" t="s">
        <v>549</v>
      </c>
      <c r="C46" s="24" t="s">
        <v>518</v>
      </c>
      <c r="D46" s="146" t="s">
        <v>343</v>
      </c>
      <c r="E46" s="146" t="s">
        <v>13</v>
      </c>
      <c r="F46" s="146">
        <v>40</v>
      </c>
      <c r="G46" s="146">
        <v>66.1</v>
      </c>
      <c r="H46" s="156" t="s">
        <v>513</v>
      </c>
      <c r="I46" s="317" t="str">
        <f>VLOOKUP(H46,Sheet4!A:B,2,)</f>
        <v>silver Machine Face</v>
      </c>
      <c r="J46" s="43">
        <v>0</v>
      </c>
    </row>
    <row r="47" s="6" customFormat="1" ht="36" customHeight="1" spans="1:10">
      <c r="A47" s="82"/>
      <c r="B47" s="134" t="s">
        <v>550</v>
      </c>
      <c r="C47" s="20" t="s">
        <v>518</v>
      </c>
      <c r="D47" s="142" t="s">
        <v>19</v>
      </c>
      <c r="E47" s="142" t="s">
        <v>13</v>
      </c>
      <c r="F47" s="142">
        <v>35</v>
      </c>
      <c r="G47" s="142">
        <v>66.1</v>
      </c>
      <c r="H47" s="148" t="s">
        <v>21</v>
      </c>
      <c r="I47" s="331" t="str">
        <f>VLOOKUP(H47,Sheet4!A:B,2,)</f>
        <v>Black Machine Face</v>
      </c>
      <c r="J47" s="42">
        <f>16+4-4-4-4-4-4+16+4-4</f>
        <v>16</v>
      </c>
    </row>
    <row r="48" s="6" customFormat="1" ht="36" customHeight="1" spans="1:10">
      <c r="A48" s="82"/>
      <c r="B48" s="134" t="s">
        <v>551</v>
      </c>
      <c r="C48" s="148" t="s">
        <v>518</v>
      </c>
      <c r="D48" s="142" t="s">
        <v>31</v>
      </c>
      <c r="E48" s="142" t="s">
        <v>13</v>
      </c>
      <c r="F48" s="142">
        <v>35</v>
      </c>
      <c r="G48" s="142">
        <v>66.1</v>
      </c>
      <c r="H48" s="148" t="s">
        <v>21</v>
      </c>
      <c r="I48" s="331" t="str">
        <f>VLOOKUP(H48,Sheet4!A:B,2,)</f>
        <v>Black Machine Face</v>
      </c>
      <c r="J48" s="42">
        <f>8-2-2</f>
        <v>4</v>
      </c>
    </row>
    <row r="49" s="6" customFormat="1" ht="36" customHeight="1" spans="1:10">
      <c r="A49" s="84"/>
      <c r="B49" s="155" t="s">
        <v>552</v>
      </c>
      <c r="C49" s="24" t="s">
        <v>518</v>
      </c>
      <c r="D49" s="146" t="s">
        <v>39</v>
      </c>
      <c r="E49" s="146" t="s">
        <v>13</v>
      </c>
      <c r="F49" s="146" t="s">
        <v>553</v>
      </c>
      <c r="G49" s="146">
        <v>66.1</v>
      </c>
      <c r="H49" s="156" t="s">
        <v>21</v>
      </c>
      <c r="I49" s="317" t="str">
        <f>VLOOKUP(H49,Sheet4!A:B,2,)</f>
        <v>Black Machine Face</v>
      </c>
      <c r="J49" s="43">
        <f>4-2-2</f>
        <v>0</v>
      </c>
    </row>
    <row r="50" s="6" customFormat="1" ht="25" customHeight="1" spans="1:10">
      <c r="A50" s="82"/>
      <c r="B50" s="134" t="s">
        <v>554</v>
      </c>
      <c r="C50" s="148" t="s">
        <v>518</v>
      </c>
      <c r="D50" s="142" t="s">
        <v>31</v>
      </c>
      <c r="E50" s="142" t="s">
        <v>13</v>
      </c>
      <c r="F50" s="142">
        <v>35</v>
      </c>
      <c r="G50" s="142">
        <v>66.1</v>
      </c>
      <c r="H50" s="148" t="s">
        <v>21</v>
      </c>
      <c r="I50" s="331" t="str">
        <f>VLOOKUP(H50,Sheet4!A:B,2,)</f>
        <v>Black Machine Face</v>
      </c>
      <c r="J50" s="42">
        <f>2-2+2-1+4-2+1-1+1-2-2+2+1-2+2</f>
        <v>3</v>
      </c>
    </row>
    <row r="51" s="6" customFormat="1" ht="25" customHeight="1" spans="1:10">
      <c r="A51" s="82"/>
      <c r="B51" s="134" t="s">
        <v>555</v>
      </c>
      <c r="C51" s="20" t="s">
        <v>518</v>
      </c>
      <c r="D51" s="142" t="s">
        <v>556</v>
      </c>
      <c r="E51" s="142" t="s">
        <v>13</v>
      </c>
      <c r="F51" s="142">
        <v>40</v>
      </c>
      <c r="G51" s="142">
        <v>66.1</v>
      </c>
      <c r="H51" s="148" t="s">
        <v>21</v>
      </c>
      <c r="I51" s="331" t="str">
        <f>VLOOKUP(H51,Sheet4!A:B,2,)</f>
        <v>Black Machine Face</v>
      </c>
      <c r="J51" s="42">
        <f>2-2+2+4-2-2-2+2-2+2</f>
        <v>2</v>
      </c>
    </row>
    <row r="52" s="6" customFormat="1" ht="25" customHeight="1" spans="1:10">
      <c r="A52" s="82"/>
      <c r="B52" s="134" t="s">
        <v>557</v>
      </c>
      <c r="C52" s="148" t="s">
        <v>518</v>
      </c>
      <c r="D52" s="142" t="s">
        <v>56</v>
      </c>
      <c r="E52" s="142" t="s">
        <v>13</v>
      </c>
      <c r="F52" s="142">
        <v>35</v>
      </c>
      <c r="G52" s="142">
        <v>66.1</v>
      </c>
      <c r="H52" s="148" t="s">
        <v>21</v>
      </c>
      <c r="I52" s="331" t="str">
        <f>VLOOKUP(H52,Sheet4!A:B,2,)</f>
        <v>Black Machine Face</v>
      </c>
      <c r="J52" s="42">
        <f t="shared" ref="J52:J57" si="0">2-2</f>
        <v>0</v>
      </c>
    </row>
    <row r="53" s="6" customFormat="1" ht="25" customHeight="1" spans="1:10">
      <c r="A53" s="84"/>
      <c r="B53" s="155" t="s">
        <v>558</v>
      </c>
      <c r="C53" s="24" t="s">
        <v>518</v>
      </c>
      <c r="D53" s="146" t="s">
        <v>343</v>
      </c>
      <c r="E53" s="146" t="s">
        <v>13</v>
      </c>
      <c r="F53" s="146">
        <v>40</v>
      </c>
      <c r="G53" s="146">
        <v>66.1</v>
      </c>
      <c r="H53" s="156" t="s">
        <v>21</v>
      </c>
      <c r="I53" s="317" t="str">
        <f>VLOOKUP(H53,Sheet4!A:B,2,)</f>
        <v>Black Machine Face</v>
      </c>
      <c r="J53" s="43">
        <f t="shared" si="0"/>
        <v>0</v>
      </c>
    </row>
    <row r="54" s="6" customFormat="1" ht="21" customHeight="1" spans="1:10">
      <c r="A54" s="82"/>
      <c r="B54" s="134" t="s">
        <v>559</v>
      </c>
      <c r="C54" s="148" t="s">
        <v>518</v>
      </c>
      <c r="D54" s="142" t="s">
        <v>31</v>
      </c>
      <c r="E54" s="142" t="s">
        <v>13</v>
      </c>
      <c r="F54" s="142">
        <v>35</v>
      </c>
      <c r="G54" s="142">
        <v>66.1</v>
      </c>
      <c r="H54" s="148" t="s">
        <v>560</v>
      </c>
      <c r="I54" s="331" t="str">
        <f>VLOOKUP(H54,Sheet4!A:B,2,)</f>
        <v>Brushed  silver</v>
      </c>
      <c r="J54" s="42">
        <f>6-2-4+4-2-2+2-2+4-2-2+4-2-2+6-2-2+4-2-2</f>
        <v>2</v>
      </c>
    </row>
    <row r="55" s="6" customFormat="1" ht="21" customHeight="1" spans="1:10">
      <c r="A55" s="82"/>
      <c r="B55" s="134" t="s">
        <v>561</v>
      </c>
      <c r="C55" s="20" t="s">
        <v>518</v>
      </c>
      <c r="D55" s="142" t="s">
        <v>39</v>
      </c>
      <c r="E55" s="142" t="s">
        <v>13</v>
      </c>
      <c r="F55" s="142">
        <v>40</v>
      </c>
      <c r="G55" s="142">
        <v>66.1</v>
      </c>
      <c r="H55" s="148" t="s">
        <v>560</v>
      </c>
      <c r="I55" s="331" t="str">
        <f>VLOOKUP(H55,Sheet4!A:B,2,)</f>
        <v>Brushed  silver</v>
      </c>
      <c r="J55" s="42">
        <f>2-2+4-2-2+2-2+4-2-2+4-2-2+6-2-2+4-2-2</f>
        <v>2</v>
      </c>
    </row>
    <row r="56" s="6" customFormat="1" ht="21" customHeight="1" spans="1:10">
      <c r="A56" s="82"/>
      <c r="B56" s="134" t="s">
        <v>562</v>
      </c>
      <c r="C56" s="148" t="s">
        <v>518</v>
      </c>
      <c r="D56" s="142" t="s">
        <v>31</v>
      </c>
      <c r="E56" s="142" t="s">
        <v>13</v>
      </c>
      <c r="F56" s="142">
        <v>35</v>
      </c>
      <c r="G56" s="142">
        <v>66.1</v>
      </c>
      <c r="H56" s="148" t="s">
        <v>513</v>
      </c>
      <c r="I56" s="331" t="str">
        <f>VLOOKUP(H56,Sheet4!A:B,2,)</f>
        <v>silver Machine Face</v>
      </c>
      <c r="J56" s="42">
        <f t="shared" si="0"/>
        <v>0</v>
      </c>
    </row>
    <row r="57" s="6" customFormat="1" ht="21" customHeight="1" spans="1:10">
      <c r="A57" s="82"/>
      <c r="B57" s="134" t="s">
        <v>563</v>
      </c>
      <c r="C57" s="20" t="s">
        <v>518</v>
      </c>
      <c r="D57" s="142" t="s">
        <v>556</v>
      </c>
      <c r="E57" s="142" t="s">
        <v>13</v>
      </c>
      <c r="F57" s="142">
        <v>40</v>
      </c>
      <c r="G57" s="142">
        <v>66.1</v>
      </c>
      <c r="H57" s="148" t="s">
        <v>513</v>
      </c>
      <c r="I57" s="331" t="str">
        <f>VLOOKUP(H57,Sheet4!A:B,2,)</f>
        <v>silver Machine Face</v>
      </c>
      <c r="J57" s="42">
        <f t="shared" si="0"/>
        <v>0</v>
      </c>
    </row>
    <row r="58" s="6" customFormat="1" ht="21" customHeight="1" spans="1:10">
      <c r="A58" s="82"/>
      <c r="B58" s="134" t="s">
        <v>564</v>
      </c>
      <c r="C58" s="148" t="s">
        <v>518</v>
      </c>
      <c r="D58" s="142" t="s">
        <v>56</v>
      </c>
      <c r="E58" s="142" t="s">
        <v>13</v>
      </c>
      <c r="F58" s="142">
        <v>35</v>
      </c>
      <c r="G58" s="142">
        <v>66.1</v>
      </c>
      <c r="H58" s="148" t="s">
        <v>513</v>
      </c>
      <c r="I58" s="331" t="str">
        <f>VLOOKUP(H58,Sheet4!A:B,2,)</f>
        <v>silver Machine Face</v>
      </c>
      <c r="J58" s="42">
        <f>4-2</f>
        <v>2</v>
      </c>
    </row>
    <row r="59" s="6" customFormat="1" ht="21" customHeight="1" spans="1:10">
      <c r="A59" s="84"/>
      <c r="B59" s="155" t="s">
        <v>564</v>
      </c>
      <c r="C59" s="24" t="s">
        <v>518</v>
      </c>
      <c r="D59" s="146" t="s">
        <v>343</v>
      </c>
      <c r="E59" s="146" t="s">
        <v>13</v>
      </c>
      <c r="F59" s="146">
        <v>40</v>
      </c>
      <c r="G59" s="146">
        <v>66.1</v>
      </c>
      <c r="H59" s="156" t="s">
        <v>513</v>
      </c>
      <c r="I59" s="317" t="str">
        <f>VLOOKUP(H59,Sheet4!A:B,2,)</f>
        <v>silver Machine Face</v>
      </c>
      <c r="J59" s="43">
        <f>4-2</f>
        <v>2</v>
      </c>
    </row>
    <row r="60" s="6" customFormat="1" ht="21" customHeight="1" spans="1:10">
      <c r="A60" s="82"/>
      <c r="B60" s="134" t="s">
        <v>565</v>
      </c>
      <c r="C60" s="148" t="s">
        <v>518</v>
      </c>
      <c r="D60" s="142" t="s">
        <v>19</v>
      </c>
      <c r="E60" s="142" t="s">
        <v>13</v>
      </c>
      <c r="F60" s="142">
        <v>35</v>
      </c>
      <c r="G60" s="142">
        <v>66.1</v>
      </c>
      <c r="H60" s="148" t="s">
        <v>53</v>
      </c>
      <c r="I60" s="331" t="str">
        <f>VLOOKUP(H60,Sheet4!A:B,2,)</f>
        <v>polish</v>
      </c>
      <c r="J60" s="42">
        <f>6-4-2+6+6-2-2-2-2-2+6-4+4-2-2+8+2+2-4-2-2+1-4-2-2+2-2+2-2+1-2+2-2</f>
        <v>0</v>
      </c>
    </row>
    <row r="61" s="6" customFormat="1" ht="21" customHeight="1" spans="1:10">
      <c r="A61" s="82"/>
      <c r="B61" s="134" t="s">
        <v>566</v>
      </c>
      <c r="C61" s="148" t="s">
        <v>518</v>
      </c>
      <c r="D61" s="142" t="s">
        <v>31</v>
      </c>
      <c r="E61" s="142" t="s">
        <v>13</v>
      </c>
      <c r="F61" s="142">
        <v>35</v>
      </c>
      <c r="G61" s="142">
        <v>66.1</v>
      </c>
      <c r="H61" s="148" t="s">
        <v>53</v>
      </c>
      <c r="I61" s="331" t="str">
        <f>VLOOKUP(H61,Sheet4!A:B,2,)</f>
        <v>polish</v>
      </c>
      <c r="J61" s="42">
        <f>6-4-2+6+6-2-2-2-2-2+6-4+4-2-2+8+2+2-4-2-2+1-4-2-2+2-2+2-2+1-2+2-2+4-4</f>
        <v>0</v>
      </c>
    </row>
    <row r="62" s="6" customFormat="1" ht="21" customHeight="1" spans="1:10">
      <c r="A62" s="82"/>
      <c r="B62" s="134" t="s">
        <v>567</v>
      </c>
      <c r="C62" s="20" t="s">
        <v>518</v>
      </c>
      <c r="D62" s="142" t="s">
        <v>556</v>
      </c>
      <c r="E62" s="142" t="s">
        <v>13</v>
      </c>
      <c r="F62" s="142">
        <v>40</v>
      </c>
      <c r="G62" s="142">
        <v>66.1</v>
      </c>
      <c r="H62" s="148" t="s">
        <v>53</v>
      </c>
      <c r="I62" s="331" t="str">
        <f>VLOOKUP(H62,Sheet4!A:B,2,)</f>
        <v>polish</v>
      </c>
      <c r="J62" s="42">
        <f>2-2+6+6-2-2-2-2-2+6-4+4-2-2-1-1+2+2-2-2+6+1-4-2-2+2-2+2-2+2-2+2-2</f>
        <v>1</v>
      </c>
    </row>
    <row r="63" s="6" customFormat="1" ht="21" customHeight="1" spans="1:10">
      <c r="A63" s="82"/>
      <c r="B63" s="134" t="s">
        <v>568</v>
      </c>
      <c r="C63" s="148" t="s">
        <v>518</v>
      </c>
      <c r="D63" s="142" t="s">
        <v>56</v>
      </c>
      <c r="E63" s="142" t="s">
        <v>13</v>
      </c>
      <c r="F63" s="142">
        <v>35</v>
      </c>
      <c r="G63" s="142">
        <v>66.1</v>
      </c>
      <c r="H63" s="148" t="s">
        <v>53</v>
      </c>
      <c r="I63" s="331" t="str">
        <f>VLOOKUP(H63,Sheet4!A:B,2,)</f>
        <v>polish</v>
      </c>
      <c r="J63" s="42">
        <f>2-2+2-2+2+2-2-2+4+2</f>
        <v>6</v>
      </c>
    </row>
    <row r="64" s="6" customFormat="1" ht="21" customHeight="1" spans="1:10">
      <c r="A64" s="84"/>
      <c r="B64" s="155" t="s">
        <v>569</v>
      </c>
      <c r="C64" s="24" t="s">
        <v>518</v>
      </c>
      <c r="D64" s="146" t="s">
        <v>34</v>
      </c>
      <c r="E64" s="146" t="s">
        <v>13</v>
      </c>
      <c r="F64" s="146">
        <v>40</v>
      </c>
      <c r="G64" s="146">
        <v>66.1</v>
      </c>
      <c r="H64" s="156" t="s">
        <v>53</v>
      </c>
      <c r="I64" s="317" t="str">
        <f>VLOOKUP(H64,Sheet4!A:B,2,)</f>
        <v>polish</v>
      </c>
      <c r="J64" s="43">
        <f>2-2+2-2+2+2-2-2+4+2</f>
        <v>6</v>
      </c>
    </row>
    <row r="65" s="6" customFormat="1" ht="51" customHeight="1" spans="1:10">
      <c r="A65" s="82"/>
      <c r="B65" s="134" t="s">
        <v>570</v>
      </c>
      <c r="C65" s="20" t="s">
        <v>518</v>
      </c>
      <c r="D65" s="142" t="s">
        <v>31</v>
      </c>
      <c r="E65" s="142" t="s">
        <v>13</v>
      </c>
      <c r="F65" s="142">
        <v>35</v>
      </c>
      <c r="G65" s="142">
        <v>66.1</v>
      </c>
      <c r="H65" s="148" t="s">
        <v>53</v>
      </c>
      <c r="I65" s="331" t="str">
        <f>VLOOKUP(H65,Sheet4!A:B,2,)</f>
        <v>polish</v>
      </c>
      <c r="J65" s="42">
        <f>4-2-2+4-4+2+2</f>
        <v>4</v>
      </c>
    </row>
    <row r="66" s="6" customFormat="1" ht="51" customHeight="1" spans="1:10">
      <c r="A66" s="84"/>
      <c r="B66" s="155" t="s">
        <v>571</v>
      </c>
      <c r="C66" s="156" t="s">
        <v>518</v>
      </c>
      <c r="D66" s="146" t="s">
        <v>556</v>
      </c>
      <c r="E66" s="146" t="s">
        <v>13</v>
      </c>
      <c r="F66" s="146">
        <v>40</v>
      </c>
      <c r="G66" s="146">
        <v>66.1</v>
      </c>
      <c r="H66" s="156" t="s">
        <v>53</v>
      </c>
      <c r="I66" s="317" t="str">
        <f>VLOOKUP(H66,Sheet4!A:B,2,)</f>
        <v>polish</v>
      </c>
      <c r="J66" s="43">
        <f>4-2-2+2+2</f>
        <v>4</v>
      </c>
    </row>
    <row r="67" s="6" customFormat="1" ht="51" customHeight="1" spans="1:10">
      <c r="A67" s="82"/>
      <c r="B67" s="134" t="s">
        <v>572</v>
      </c>
      <c r="C67" s="20" t="s">
        <v>518</v>
      </c>
      <c r="D67" s="142" t="s">
        <v>39</v>
      </c>
      <c r="E67" s="142" t="s">
        <v>13</v>
      </c>
      <c r="F67" s="142">
        <v>40</v>
      </c>
      <c r="G67" s="142">
        <v>66.1</v>
      </c>
      <c r="H67" s="148" t="s">
        <v>53</v>
      </c>
      <c r="I67" s="331" t="str">
        <f>VLOOKUP(H67,Sheet4!A:B,2,)</f>
        <v>polish</v>
      </c>
      <c r="J67" s="42">
        <f>2-2+4-2+4-2-2+2+2-2-4+2-2+4+4+4+4</f>
        <v>16</v>
      </c>
    </row>
    <row r="68" s="6" customFormat="1" ht="51" customHeight="1" spans="1:10">
      <c r="A68" s="84"/>
      <c r="B68" s="155" t="s">
        <v>572</v>
      </c>
      <c r="C68" s="156" t="s">
        <v>518</v>
      </c>
      <c r="D68" s="146" t="s">
        <v>39</v>
      </c>
      <c r="E68" s="146" t="s">
        <v>13</v>
      </c>
      <c r="F68" s="146">
        <v>40</v>
      </c>
      <c r="G68" s="146">
        <v>66.1</v>
      </c>
      <c r="H68" s="156" t="s">
        <v>53</v>
      </c>
      <c r="I68" s="317" t="str">
        <f>VLOOKUP(H68,Sheet4!A:B,2,)</f>
        <v>polish</v>
      </c>
      <c r="J68" s="43">
        <f>2-2+4+4-2-2-2-2+2-2+4+4</f>
        <v>8</v>
      </c>
    </row>
    <row r="69" s="6" customFormat="1" ht="33" customHeight="1" spans="1:10">
      <c r="A69" s="82"/>
      <c r="B69" s="134" t="s">
        <v>573</v>
      </c>
      <c r="C69" s="148" t="s">
        <v>518</v>
      </c>
      <c r="D69" s="142" t="s">
        <v>19</v>
      </c>
      <c r="E69" s="142" t="s">
        <v>13</v>
      </c>
      <c r="F69" s="142">
        <v>30</v>
      </c>
      <c r="G69" s="142">
        <v>66.1</v>
      </c>
      <c r="H69" s="148" t="s">
        <v>21</v>
      </c>
      <c r="I69" s="331" t="str">
        <f>VLOOKUP(H69,Sheet4!A:B,2,)</f>
        <v>Black Machine Face</v>
      </c>
      <c r="J69" s="42">
        <f>8-4-4+4+4+8-4-4-4-4+12+4-4-4-4-4+16+4+4-4-4-4-4+12-4-4-4-4-4+4-4+8+8-4-4-4+4-4-4+8-4+8+4-4-4+4</f>
        <v>12</v>
      </c>
    </row>
    <row r="70" s="6" customFormat="1" ht="33" customHeight="1" spans="1:10">
      <c r="A70" s="82"/>
      <c r="B70" s="134" t="s">
        <v>574</v>
      </c>
      <c r="C70" s="148" t="s">
        <v>518</v>
      </c>
      <c r="D70" s="142" t="s">
        <v>31</v>
      </c>
      <c r="E70" s="142" t="s">
        <v>13</v>
      </c>
      <c r="F70" s="142">
        <v>35</v>
      </c>
      <c r="G70" s="142">
        <v>66.1</v>
      </c>
      <c r="H70" s="148" t="s">
        <v>21</v>
      </c>
      <c r="I70" s="331" t="str">
        <f>VLOOKUP(H70,Sheet4!A:B,2,)</f>
        <v>Black Machine Face</v>
      </c>
      <c r="J70" s="21">
        <f>4-2-2+16-4-4-4-4+10-4-2-2-2+8-2-2-2+2-2+10-2-2-2-2-2-2+8-4-4+4-2-2+2+6-2-2-2+12-4-2-4-4+2-2+14-2-2-2-4+4-4+4-4</f>
        <v>4</v>
      </c>
    </row>
    <row r="71" s="6" customFormat="1" ht="33" customHeight="1" spans="1:10">
      <c r="A71" s="124"/>
      <c r="B71" s="318" t="s">
        <v>575</v>
      </c>
      <c r="C71" s="163" t="s">
        <v>518</v>
      </c>
      <c r="D71" s="319" t="s">
        <v>576</v>
      </c>
      <c r="E71" s="319" t="s">
        <v>13</v>
      </c>
      <c r="F71" s="319">
        <v>40</v>
      </c>
      <c r="G71" s="319">
        <v>66.1</v>
      </c>
      <c r="H71" s="163" t="s">
        <v>21</v>
      </c>
      <c r="I71" s="338" t="str">
        <f>VLOOKUP(H71,Sheet4!A:B,2,)</f>
        <v>Black Machine Face</v>
      </c>
      <c r="J71" s="114">
        <f>4-2-2+10-2-2-2-4+8-2-2-2+2-2+10-2-2-2-2-2-2+4-2-2+2+6-2-2-2-2+2-2+6-2-2-2+4+4</f>
        <v>8</v>
      </c>
    </row>
    <row r="72" s="6" customFormat="1" ht="51" customHeight="1" spans="1:10">
      <c r="A72" s="82"/>
      <c r="B72" s="134" t="s">
        <v>577</v>
      </c>
      <c r="C72" s="148" t="s">
        <v>518</v>
      </c>
      <c r="D72" s="142" t="s">
        <v>31</v>
      </c>
      <c r="E72" s="142" t="s">
        <v>13</v>
      </c>
      <c r="F72" s="142">
        <v>35</v>
      </c>
      <c r="G72" s="142">
        <v>66.1</v>
      </c>
      <c r="H72" s="347" t="s">
        <v>53</v>
      </c>
      <c r="I72" s="348" t="str">
        <f>VLOOKUP(H72,Sheet4!A:B,2,)</f>
        <v>polish</v>
      </c>
      <c r="J72" s="42">
        <f>8-4-2-1+2+4-2-1-2-2+4-4+8-4+12-4-4+4-4-4-4+4-1+1-2+4-2-2+6+2-2-2-1-2</f>
        <v>3</v>
      </c>
    </row>
    <row r="73" s="6" customFormat="1" ht="51" customHeight="1" spans="1:10">
      <c r="A73" s="84"/>
      <c r="B73" s="155" t="s">
        <v>578</v>
      </c>
      <c r="C73" s="156" t="s">
        <v>518</v>
      </c>
      <c r="D73" s="349" t="s">
        <v>579</v>
      </c>
      <c r="E73" s="146" t="s">
        <v>13</v>
      </c>
      <c r="F73" s="146">
        <v>40</v>
      </c>
      <c r="G73" s="146">
        <v>66.1</v>
      </c>
      <c r="H73" s="350" t="s">
        <v>53</v>
      </c>
      <c r="I73" s="351" t="str">
        <f>VLOOKUP(H73,Sheet4!A:B,2,)</f>
        <v>polish</v>
      </c>
      <c r="J73" s="43">
        <f>8-2+2+4-2-2-1-2-4+1+4-2+4-2-2+6+2-2-2-1-2</f>
        <v>5</v>
      </c>
    </row>
    <row r="74" s="6" customFormat="1" ht="23" customHeight="1" spans="1:10">
      <c r="A74" s="82"/>
      <c r="B74" s="134" t="s">
        <v>580</v>
      </c>
      <c r="C74" s="142" t="s">
        <v>518</v>
      </c>
      <c r="D74" s="142" t="s">
        <v>19</v>
      </c>
      <c r="E74" s="142" t="s">
        <v>13</v>
      </c>
      <c r="F74" s="142">
        <v>35</v>
      </c>
      <c r="G74" s="142">
        <v>66.1</v>
      </c>
      <c r="H74" s="148" t="s">
        <v>53</v>
      </c>
      <c r="I74" s="331" t="str">
        <f>VLOOKUP(H74,Sheet4!A:B,2,)</f>
        <v>polish</v>
      </c>
      <c r="J74" s="177">
        <f>12+16-4</f>
        <v>24</v>
      </c>
    </row>
    <row r="75" s="6" customFormat="1" ht="23" customHeight="1" spans="1:10">
      <c r="A75" s="82"/>
      <c r="B75" s="134" t="s">
        <v>581</v>
      </c>
      <c r="C75" s="142" t="s">
        <v>518</v>
      </c>
      <c r="D75" s="352" t="s">
        <v>582</v>
      </c>
      <c r="E75" s="142" t="s">
        <v>13</v>
      </c>
      <c r="F75" s="142">
        <v>35</v>
      </c>
      <c r="G75" s="142">
        <v>66.1</v>
      </c>
      <c r="H75" s="148" t="s">
        <v>21</v>
      </c>
      <c r="I75" s="331" t="str">
        <f>VLOOKUP(H75,Sheet4!A:B,2,)</f>
        <v>Black Machine Face</v>
      </c>
      <c r="J75" s="177">
        <f>20-2-2-4-4-4-4+4-2-2+16-4-4+12-4-4-4-4-4+44-4-4+12-4-4-4-4-4-4-4-4+60-4-4-4-4</f>
        <v>60</v>
      </c>
    </row>
    <row r="76" s="6" customFormat="1" ht="23" customHeight="1" spans="1:10">
      <c r="A76" s="353"/>
      <c r="B76" s="134" t="s">
        <v>583</v>
      </c>
      <c r="C76" s="142" t="s">
        <v>518</v>
      </c>
      <c r="D76" s="142" t="s">
        <v>19</v>
      </c>
      <c r="E76" s="142" t="s">
        <v>13</v>
      </c>
      <c r="F76" s="142">
        <v>35</v>
      </c>
      <c r="G76" s="142">
        <v>66.1</v>
      </c>
      <c r="H76" s="148" t="s">
        <v>21</v>
      </c>
      <c r="I76" s="331" t="str">
        <f>VLOOKUP(H76,Sheet4!A:B,2,)</f>
        <v>Black Machine Face</v>
      </c>
      <c r="J76" s="177">
        <f>1+4-4+4-4+4-1</f>
        <v>4</v>
      </c>
    </row>
    <row r="77" s="6" customFormat="1" ht="23" customHeight="1" spans="1:10">
      <c r="A77" s="353"/>
      <c r="B77" s="134" t="s">
        <v>584</v>
      </c>
      <c r="C77" s="142" t="s">
        <v>518</v>
      </c>
      <c r="D77" s="142" t="s">
        <v>31</v>
      </c>
      <c r="E77" s="142" t="s">
        <v>13</v>
      </c>
      <c r="F77" s="142">
        <v>35</v>
      </c>
      <c r="G77" s="142">
        <v>66.1</v>
      </c>
      <c r="H77" s="148" t="s">
        <v>21</v>
      </c>
      <c r="I77" s="331" t="str">
        <f>VLOOKUP(H77,Sheet4!A:B,2,)</f>
        <v>Black Machine Face</v>
      </c>
      <c r="J77" s="294">
        <f>4-4+4-4+28-2+16-2-2+12+20+8-12-2-2-2-1-1+1-2-2-2+2-4-2-2-4-2+8+2-2-2-2-2</f>
        <v>43</v>
      </c>
    </row>
    <row r="78" s="6" customFormat="1" ht="23" customHeight="1" spans="1:10">
      <c r="A78" s="353"/>
      <c r="B78" s="134" t="s">
        <v>585</v>
      </c>
      <c r="C78" s="142" t="s">
        <v>518</v>
      </c>
      <c r="D78" s="141" t="s">
        <v>39</v>
      </c>
      <c r="E78" s="142" t="s">
        <v>13</v>
      </c>
      <c r="F78" s="142">
        <v>40</v>
      </c>
      <c r="G78" s="142">
        <v>66.1</v>
      </c>
      <c r="H78" s="148" t="s">
        <v>21</v>
      </c>
      <c r="I78" s="331" t="str">
        <f>VLOOKUP(H78,Sheet4!A:B,2,)</f>
        <v>Black Machine Face</v>
      </c>
      <c r="J78" s="294">
        <f>5-4+4-4+8+4+16+12-2-2-2-2-2-2-2-2-2+2-4-2-2-4-2-1+2-2-2-2-2</f>
        <v>4</v>
      </c>
    </row>
    <row r="79" s="6" customFormat="1" ht="23" customHeight="1" spans="1:10">
      <c r="A79" s="353"/>
      <c r="B79" s="134" t="s">
        <v>586</v>
      </c>
      <c r="C79" s="142" t="s">
        <v>518</v>
      </c>
      <c r="D79" s="352" t="s">
        <v>587</v>
      </c>
      <c r="E79" s="142" t="s">
        <v>13</v>
      </c>
      <c r="F79" s="142">
        <v>40</v>
      </c>
      <c r="G79" s="142">
        <v>66.1</v>
      </c>
      <c r="H79" s="148" t="s">
        <v>21</v>
      </c>
      <c r="I79" s="331" t="str">
        <f>VLOOKUP(H79,Sheet4!A:B,2,)</f>
        <v>Black Machine Face</v>
      </c>
      <c r="J79" s="294">
        <f>1+1+1-1</f>
        <v>2</v>
      </c>
    </row>
    <row r="80" s="6" customFormat="1" ht="23" customHeight="1" spans="1:10">
      <c r="A80" s="353"/>
      <c r="B80" s="134" t="s">
        <v>588</v>
      </c>
      <c r="C80" s="141" t="s">
        <v>518</v>
      </c>
      <c r="D80" s="141" t="s">
        <v>19</v>
      </c>
      <c r="E80" s="141" t="s">
        <v>13</v>
      </c>
      <c r="F80" s="141">
        <v>35</v>
      </c>
      <c r="G80" s="141">
        <v>66.1</v>
      </c>
      <c r="H80" s="134" t="s">
        <v>16</v>
      </c>
      <c r="I80" s="354" t="str">
        <f>VLOOKUP(H80,Sheet4!A:B,2,)</f>
        <v>GLOSS BLACK</v>
      </c>
      <c r="J80" s="294">
        <f>12-4-4+12-4-4-4-4+20-4-12-1</f>
        <v>3</v>
      </c>
    </row>
    <row r="81" s="6" customFormat="1" ht="23" customHeight="1" spans="1:10">
      <c r="A81" s="353"/>
      <c r="B81" s="134" t="s">
        <v>589</v>
      </c>
      <c r="C81" s="141" t="s">
        <v>518</v>
      </c>
      <c r="D81" s="141" t="s">
        <v>31</v>
      </c>
      <c r="E81" s="141" t="s">
        <v>13</v>
      </c>
      <c r="F81" s="141">
        <v>35</v>
      </c>
      <c r="G81" s="141">
        <v>66.1</v>
      </c>
      <c r="H81" s="134" t="s">
        <v>16</v>
      </c>
      <c r="I81" s="354" t="str">
        <f>VLOOKUP(H81,Sheet4!A:B,2,)</f>
        <v>GLOSS BLACK</v>
      </c>
      <c r="J81" s="294">
        <f>4-2-2+4-2+2-2+2-2-2+10-2+16-2-2-2</f>
        <v>18</v>
      </c>
    </row>
    <row r="82" s="6" customFormat="1" ht="23" customHeight="1" spans="1:10">
      <c r="A82" s="353"/>
      <c r="B82" s="134" t="s">
        <v>590</v>
      </c>
      <c r="C82" s="141" t="s">
        <v>518</v>
      </c>
      <c r="D82" s="141" t="s">
        <v>39</v>
      </c>
      <c r="E82" s="141" t="s">
        <v>13</v>
      </c>
      <c r="F82" s="141" t="s">
        <v>553</v>
      </c>
      <c r="G82" s="141">
        <v>66.1</v>
      </c>
      <c r="H82" s="134" t="s">
        <v>16</v>
      </c>
      <c r="I82" s="354" t="str">
        <f>VLOOKUP(H82,Sheet4!A:B,2,)</f>
        <v>GLOSS BLACK</v>
      </c>
      <c r="J82" s="294">
        <f>4-2-2+4-2+2-2+2-2-2+10-2-2-2-2</f>
        <v>2</v>
      </c>
    </row>
    <row r="83" s="6" customFormat="1" ht="27" customHeight="1" spans="1:10">
      <c r="A83" s="353"/>
      <c r="B83" s="134" t="s">
        <v>591</v>
      </c>
      <c r="C83" s="142" t="s">
        <v>518</v>
      </c>
      <c r="D83" s="352" t="s">
        <v>31</v>
      </c>
      <c r="E83" s="142" t="s">
        <v>13</v>
      </c>
      <c r="F83" s="142">
        <v>35</v>
      </c>
      <c r="G83" s="142">
        <v>66.1</v>
      </c>
      <c r="H83" s="355" t="s">
        <v>53</v>
      </c>
      <c r="I83" s="354" t="str">
        <f>VLOOKUP(H83,Sheet4!A:B,2,)</f>
        <v>polish</v>
      </c>
      <c r="J83" s="294">
        <f>5-2-2-1+10-2+10+8</f>
        <v>26</v>
      </c>
    </row>
    <row r="84" s="6" customFormat="1" ht="26" customHeight="1" spans="1:10">
      <c r="A84" s="353"/>
      <c r="B84" s="134" t="s">
        <v>592</v>
      </c>
      <c r="C84" s="142" t="s">
        <v>518</v>
      </c>
      <c r="D84" s="352" t="s">
        <v>593</v>
      </c>
      <c r="E84" s="142" t="s">
        <v>13</v>
      </c>
      <c r="F84" s="142">
        <v>40</v>
      </c>
      <c r="G84" s="142">
        <v>66.1</v>
      </c>
      <c r="H84" s="355" t="s">
        <v>53</v>
      </c>
      <c r="I84" s="354" t="str">
        <f>VLOOKUP(H84,Sheet4!A:B,2,)</f>
        <v>polish</v>
      </c>
      <c r="J84" s="177">
        <f>4-2-2+4+8+1+10-2+2</f>
        <v>23</v>
      </c>
    </row>
    <row r="85" s="6" customFormat="1" ht="27" customHeight="1" spans="1:10">
      <c r="A85" s="353"/>
      <c r="B85" s="134" t="s">
        <v>594</v>
      </c>
      <c r="C85" s="142" t="s">
        <v>518</v>
      </c>
      <c r="D85" s="142" t="s">
        <v>56</v>
      </c>
      <c r="E85" s="142" t="s">
        <v>13</v>
      </c>
      <c r="F85" s="142">
        <v>35</v>
      </c>
      <c r="G85" s="142">
        <v>66.1</v>
      </c>
      <c r="H85" s="148" t="s">
        <v>21</v>
      </c>
      <c r="I85" s="331" t="str">
        <f>VLOOKUP(H85,Sheet4!A:B,2,)</f>
        <v>Black Machine Face</v>
      </c>
      <c r="J85" s="177">
        <f>4-2-2+6+2+4-2-2-2-2-2-2+12+2-2-4-4-4+8+2-2-2</f>
        <v>6</v>
      </c>
    </row>
    <row r="86" s="6" customFormat="1" ht="27" customHeight="1" spans="1:10">
      <c r="A86" s="356"/>
      <c r="B86" s="155" t="s">
        <v>595</v>
      </c>
      <c r="C86" s="146" t="s">
        <v>518</v>
      </c>
      <c r="D86" s="145" t="s">
        <v>34</v>
      </c>
      <c r="E86" s="146" t="s">
        <v>13</v>
      </c>
      <c r="F86" s="146">
        <v>40</v>
      </c>
      <c r="G86" s="146">
        <v>66.1</v>
      </c>
      <c r="H86" s="156" t="s">
        <v>21</v>
      </c>
      <c r="I86" s="317" t="str">
        <f>VLOOKUP(H86,Sheet4!A:B,2,)</f>
        <v>Black Machine Face</v>
      </c>
      <c r="J86" s="306">
        <f>4-2-2+6+2+4-2-2-2-2-2-2+2-2+10-2-2</f>
        <v>6</v>
      </c>
    </row>
    <row r="87" s="6" customFormat="1" ht="23" customHeight="1" spans="1:10">
      <c r="A87" s="82"/>
      <c r="B87" s="134" t="s">
        <v>596</v>
      </c>
      <c r="C87" s="148" t="s">
        <v>518</v>
      </c>
      <c r="D87" s="142" t="s">
        <v>29</v>
      </c>
      <c r="E87" s="142" t="s">
        <v>13</v>
      </c>
      <c r="F87" s="142">
        <v>30</v>
      </c>
      <c r="G87" s="142">
        <v>66.1</v>
      </c>
      <c r="H87" s="148" t="s">
        <v>21</v>
      </c>
      <c r="I87" s="331" t="str">
        <f>VLOOKUP(H87,Sheet4!A:B,2,)</f>
        <v>Black Machine Face</v>
      </c>
      <c r="J87" s="42">
        <f>8-4-4+8-4-4+4-4+16+4-4-4+4</f>
        <v>16</v>
      </c>
    </row>
    <row r="88" s="6" customFormat="1" ht="23" customHeight="1" spans="1:10">
      <c r="A88" s="82"/>
      <c r="B88" s="134" t="s">
        <v>597</v>
      </c>
      <c r="C88" s="148" t="s">
        <v>518</v>
      </c>
      <c r="D88" s="142" t="s">
        <v>31</v>
      </c>
      <c r="E88" s="142" t="s">
        <v>13</v>
      </c>
      <c r="F88" s="141">
        <v>35</v>
      </c>
      <c r="G88" s="142">
        <v>66.1</v>
      </c>
      <c r="H88" s="148" t="s">
        <v>21</v>
      </c>
      <c r="I88" s="331" t="str">
        <f>VLOOKUP(H88,Sheet4!A:B,2,)</f>
        <v>Black Machine Face</v>
      </c>
      <c r="J88" s="42">
        <f>2-2+4-2-2+4-2+2-4+4-2-2+2-2+4-2-2+6-4-2+8-4-4+4+4+8+4-4-4-4+4-2-2-4+8-4-4-2-2+2+4-2-2-2+2-2+6-4+2+6-2+12-8+2-2-2-2-2-2+8-2-2+2-2+12-2-2</f>
        <v>16</v>
      </c>
    </row>
    <row r="89" s="6" customFormat="1" ht="23" customHeight="1" spans="1:10">
      <c r="A89" s="82"/>
      <c r="B89" s="134" t="s">
        <v>598</v>
      </c>
      <c r="C89" s="20" t="s">
        <v>518</v>
      </c>
      <c r="D89" s="142" t="s">
        <v>39</v>
      </c>
      <c r="E89" s="142" t="s">
        <v>13</v>
      </c>
      <c r="F89" s="142">
        <v>40</v>
      </c>
      <c r="G89" s="142">
        <v>66.1</v>
      </c>
      <c r="H89" s="148" t="s">
        <v>21</v>
      </c>
      <c r="I89" s="331" t="str">
        <f>VLOOKUP(H89,Sheet4!A:B,2,)</f>
        <v>Black Machine Face</v>
      </c>
      <c r="J89" s="42">
        <f>2-2+4-2-2+4-2+2-2-2+2-2+4-2-2+2-2+4-2-2+4-2-2+2+4-2-2-2+2-2+2+4+2+6-2+2-2-2-2-2-2+8-2-2+2-2+12-2-2</f>
        <v>16</v>
      </c>
    </row>
    <row r="90" s="6" customFormat="1" ht="23" customHeight="1" spans="1:10">
      <c r="A90" s="82"/>
      <c r="B90" s="134" t="s">
        <v>599</v>
      </c>
      <c r="C90" s="148" t="s">
        <v>518</v>
      </c>
      <c r="D90" s="142" t="s">
        <v>56</v>
      </c>
      <c r="E90" s="142" t="s">
        <v>13</v>
      </c>
      <c r="F90" s="142">
        <v>35</v>
      </c>
      <c r="G90" s="142">
        <v>66.1</v>
      </c>
      <c r="H90" s="148" t="s">
        <v>21</v>
      </c>
      <c r="I90" s="331" t="str">
        <f>VLOOKUP(H90,Sheet4!A:B,2,)</f>
        <v>Black Machine Face</v>
      </c>
      <c r="J90" s="42">
        <f>2-2+2-2+2-2+2</f>
        <v>2</v>
      </c>
    </row>
    <row r="91" s="6" customFormat="1" ht="23" customHeight="1" spans="1:10">
      <c r="A91" s="84"/>
      <c r="B91" s="155" t="s">
        <v>600</v>
      </c>
      <c r="C91" s="24" t="s">
        <v>518</v>
      </c>
      <c r="D91" s="146" t="s">
        <v>343</v>
      </c>
      <c r="E91" s="146" t="s">
        <v>13</v>
      </c>
      <c r="F91" s="146">
        <v>40</v>
      </c>
      <c r="G91" s="146">
        <v>66.1</v>
      </c>
      <c r="H91" s="156" t="s">
        <v>21</v>
      </c>
      <c r="I91" s="317" t="str">
        <f>VLOOKUP(H91,Sheet4!A:B,2,)</f>
        <v>Black Machine Face</v>
      </c>
      <c r="J91" s="43">
        <f>2-2+2-2+2-2+2</f>
        <v>2</v>
      </c>
    </row>
    <row r="92" s="6" customFormat="1" ht="20" customHeight="1" spans="1:10">
      <c r="A92" s="82"/>
      <c r="B92" s="134" t="s">
        <v>601</v>
      </c>
      <c r="C92" s="148" t="s">
        <v>518</v>
      </c>
      <c r="D92" s="142" t="s">
        <v>29</v>
      </c>
      <c r="E92" s="142" t="s">
        <v>13</v>
      </c>
      <c r="F92" s="142">
        <v>30</v>
      </c>
      <c r="G92" s="142">
        <v>66.1</v>
      </c>
      <c r="H92" s="148" t="s">
        <v>21</v>
      </c>
      <c r="I92" s="331" t="str">
        <f>VLOOKUP(H92,Sheet4!A:B,2,)</f>
        <v>Black Machine Face</v>
      </c>
      <c r="J92" s="42">
        <f>12-4-4-4+4+4-4-4+4-4+4-4+8-4-4+4-4+4+4-4-4</f>
        <v>0</v>
      </c>
    </row>
    <row r="93" s="6" customFormat="1" ht="20" customHeight="1" spans="1:10">
      <c r="A93" s="82"/>
      <c r="B93" s="134" t="s">
        <v>602</v>
      </c>
      <c r="C93" s="148" t="s">
        <v>518</v>
      </c>
      <c r="D93" s="142" t="s">
        <v>31</v>
      </c>
      <c r="E93" s="142" t="s">
        <v>13</v>
      </c>
      <c r="F93" s="357">
        <v>35</v>
      </c>
      <c r="G93" s="142">
        <v>66.1</v>
      </c>
      <c r="H93" s="148" t="s">
        <v>21</v>
      </c>
      <c r="I93" s="331" t="str">
        <f>VLOOKUP(H93,Sheet4!A:B,2,)</f>
        <v>Black Machine Face</v>
      </c>
      <c r="J93" s="42">
        <f>6-2-4+2-2+2+4-2+8-2-2-2-2+2-2-2+8-4-4-2</f>
        <v>0</v>
      </c>
    </row>
    <row r="94" s="6" customFormat="1" ht="20" customHeight="1" spans="1:10">
      <c r="A94" s="82"/>
      <c r="B94" s="134" t="s">
        <v>602</v>
      </c>
      <c r="C94" s="148" t="s">
        <v>518</v>
      </c>
      <c r="D94" s="352" t="s">
        <v>593</v>
      </c>
      <c r="E94" s="142" t="s">
        <v>13</v>
      </c>
      <c r="F94" s="357">
        <v>40</v>
      </c>
      <c r="G94" s="142">
        <v>66.1</v>
      </c>
      <c r="H94" s="148" t="s">
        <v>21</v>
      </c>
      <c r="I94" s="331" t="str">
        <f>VLOOKUP(H94,Sheet4!A:B,2,)</f>
        <v>Black Machine Face</v>
      </c>
      <c r="J94" s="42">
        <f>2+8-2-2-2-2+2-2-2</f>
        <v>0</v>
      </c>
    </row>
    <row r="95" s="6" customFormat="1" ht="20" customHeight="1" spans="1:10">
      <c r="A95" s="82"/>
      <c r="B95" s="134" t="s">
        <v>602</v>
      </c>
      <c r="C95" s="148" t="s">
        <v>518</v>
      </c>
      <c r="D95" s="142" t="s">
        <v>556</v>
      </c>
      <c r="E95" s="142" t="s">
        <v>13</v>
      </c>
      <c r="F95" s="142">
        <v>40</v>
      </c>
      <c r="G95" s="142">
        <v>66.1</v>
      </c>
      <c r="H95" s="148" t="s">
        <v>21</v>
      </c>
      <c r="I95" s="331" t="str">
        <f>VLOOKUP(H95,Sheet4!A:B,2,)</f>
        <v>Black Machine Face</v>
      </c>
      <c r="J95" s="42">
        <f>2-2+2-2+2-2</f>
        <v>0</v>
      </c>
    </row>
    <row r="96" s="6" customFormat="1" ht="20" customHeight="1" spans="1:10">
      <c r="A96" s="82"/>
      <c r="B96" s="134" t="s">
        <v>603</v>
      </c>
      <c r="C96" s="20" t="s">
        <v>518</v>
      </c>
      <c r="D96" s="142" t="s">
        <v>56</v>
      </c>
      <c r="E96" s="142" t="s">
        <v>13</v>
      </c>
      <c r="F96" s="142">
        <v>40</v>
      </c>
      <c r="G96" s="142">
        <v>66.1</v>
      </c>
      <c r="H96" s="148" t="s">
        <v>21</v>
      </c>
      <c r="I96" s="331" t="str">
        <f>VLOOKUP(H96,Sheet4!A:B,2,)</f>
        <v>Black Machine Face</v>
      </c>
      <c r="J96" s="42">
        <f>12-4-4-2-2+2-2+2-2+8</f>
        <v>8</v>
      </c>
    </row>
    <row r="97" s="6" customFormat="1" ht="20" customHeight="1" spans="1:10">
      <c r="A97" s="84"/>
      <c r="B97" s="155" t="s">
        <v>604</v>
      </c>
      <c r="C97" s="24" t="s">
        <v>518</v>
      </c>
      <c r="D97" s="146" t="s">
        <v>343</v>
      </c>
      <c r="E97" s="146" t="s">
        <v>13</v>
      </c>
      <c r="F97" s="146">
        <v>40</v>
      </c>
      <c r="G97" s="146">
        <v>66.1</v>
      </c>
      <c r="H97" s="156" t="s">
        <v>21</v>
      </c>
      <c r="I97" s="317" t="str">
        <f>VLOOKUP(H97,Sheet4!A:B,2,)</f>
        <v>Black Machine Face</v>
      </c>
      <c r="J97" s="43">
        <f>4-2-2+2-2+2-2</f>
        <v>0</v>
      </c>
    </row>
  </sheetData>
  <autoFilter xmlns:etc="http://www.wps.cn/officeDocument/2017/etCustomData" ref="A2:J97" etc:filterBottomFollowUsedRange="0">
    <extLst/>
  </autoFilter>
  <pageMargins left="0.275" right="0.15625" top="0.354166666666667" bottom="0.511805555555556" header="0.432638888888889" footer="0.313888888888889"/>
  <pageSetup paperSize="9" scale="75" orientation="landscape" horizontalDpi="600"/>
  <headerFooter>
    <oddFooter>&amp;C&amp;14&amp;B特斯拉  第 &amp;P 页，共 &amp;N 页</oddFooter>
  </headerFooter>
  <rowBreaks count="4" manualBreakCount="4">
    <brk id="27" max="9" man="1"/>
    <brk id="39" max="9" man="1"/>
    <brk id="64" max="9" man="1"/>
    <brk id="82" max="9" man="1"/>
  </rowBreaks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indexed="42"/>
  </sheetPr>
  <dimension ref="A1:J184"/>
  <sheetViews>
    <sheetView workbookViewId="0">
      <pane xSplit="1" ySplit="2" topLeftCell="B50" activePane="bottomRight" state="frozen"/>
      <selection/>
      <selection pane="topRight"/>
      <selection pane="bottomLeft"/>
      <selection pane="bottomRight" activeCell="G74" sqref="G74"/>
    </sheetView>
  </sheetViews>
  <sheetFormatPr defaultColWidth="9" defaultRowHeight="13.5"/>
  <cols>
    <col min="1" max="1" width="24.875" style="7" customWidth="1"/>
    <col min="2" max="2" width="20.75" style="90" customWidth="1"/>
    <col min="3" max="3" width="10.975" style="89" customWidth="1"/>
    <col min="4" max="4" width="15.875" style="89" customWidth="1"/>
    <col min="5" max="5" width="10.3166666666667" style="89" customWidth="1"/>
    <col min="6" max="6" width="8.25833333333333" style="89" customWidth="1"/>
    <col min="7" max="7" width="13.625" style="89" customWidth="1"/>
    <col min="8" max="9" width="17.5" style="89" customWidth="1"/>
    <col min="10" max="10" width="15.325" style="7" customWidth="1"/>
    <col min="11" max="16384" width="9" style="63"/>
  </cols>
  <sheetData>
    <row r="1" ht="71" customHeight="1"/>
    <row r="2" s="5" customFormat="1" ht="26" customHeight="1" spans="1:10">
      <c r="A2" s="93" t="s">
        <v>0</v>
      </c>
      <c r="B2" s="94" t="s">
        <v>1</v>
      </c>
      <c r="C2" s="94" t="s">
        <v>2</v>
      </c>
      <c r="D2" s="94" t="s">
        <v>3</v>
      </c>
      <c r="E2" s="94" t="s">
        <v>4</v>
      </c>
      <c r="F2" s="94" t="s">
        <v>5</v>
      </c>
      <c r="G2" s="94" t="s">
        <v>6</v>
      </c>
      <c r="H2" s="94" t="s">
        <v>7</v>
      </c>
      <c r="I2" s="94" t="s">
        <v>8</v>
      </c>
      <c r="J2" s="93" t="s">
        <v>9</v>
      </c>
    </row>
    <row r="3" s="63" customFormat="1" ht="111" customHeight="1" spans="1:10">
      <c r="A3" s="299"/>
      <c r="B3" s="49" t="s">
        <v>605</v>
      </c>
      <c r="C3" s="50" t="s">
        <v>115</v>
      </c>
      <c r="D3" s="50" t="s">
        <v>19</v>
      </c>
      <c r="E3" s="50" t="s">
        <v>40</v>
      </c>
      <c r="F3" s="50">
        <v>30</v>
      </c>
      <c r="G3" s="50">
        <v>60.1</v>
      </c>
      <c r="H3" s="300" t="s">
        <v>606</v>
      </c>
      <c r="I3" s="301"/>
      <c r="J3" s="302">
        <v>4</v>
      </c>
    </row>
    <row r="4" s="63" customFormat="1" ht="51" customHeight="1" spans="1:10">
      <c r="A4" s="33"/>
      <c r="B4" s="19" t="s">
        <v>607</v>
      </c>
      <c r="C4" s="20" t="s">
        <v>608</v>
      </c>
      <c r="D4" s="20" t="s">
        <v>44</v>
      </c>
      <c r="E4" s="20" t="s">
        <v>208</v>
      </c>
      <c r="F4" s="20">
        <v>22</v>
      </c>
      <c r="G4" s="20">
        <v>66.56</v>
      </c>
      <c r="H4" s="20" t="s">
        <v>609</v>
      </c>
      <c r="I4" s="303" t="s">
        <v>610</v>
      </c>
      <c r="J4" s="42">
        <v>2</v>
      </c>
    </row>
    <row r="5" s="63" customFormat="1" ht="51" customHeight="1" spans="1:10">
      <c r="A5" s="299"/>
      <c r="B5" s="49" t="s">
        <v>607</v>
      </c>
      <c r="C5" s="50" t="s">
        <v>608</v>
      </c>
      <c r="D5" s="50" t="s">
        <v>489</v>
      </c>
      <c r="E5" s="50" t="s">
        <v>208</v>
      </c>
      <c r="F5" s="50">
        <v>30</v>
      </c>
      <c r="G5" s="50">
        <v>66.56</v>
      </c>
      <c r="H5" s="50" t="s">
        <v>609</v>
      </c>
      <c r="I5" s="49" t="s">
        <v>610</v>
      </c>
      <c r="J5" s="51">
        <v>2</v>
      </c>
    </row>
    <row r="6" s="63" customFormat="1" ht="111" customHeight="1" spans="1:10">
      <c r="A6" s="299"/>
      <c r="B6" s="49" t="s">
        <v>611</v>
      </c>
      <c r="C6" s="50" t="s">
        <v>612</v>
      </c>
      <c r="D6" s="50" t="s">
        <v>613</v>
      </c>
      <c r="E6" s="50" t="s">
        <v>208</v>
      </c>
      <c r="F6" s="50">
        <v>25</v>
      </c>
      <c r="G6" s="50">
        <v>66.5</v>
      </c>
      <c r="H6" s="50" t="s">
        <v>59</v>
      </c>
      <c r="I6" s="20" t="str">
        <f>VLOOKUP(H6,Sheet4!A:B,2,)</f>
        <v>hyper black</v>
      </c>
      <c r="J6" s="51">
        <v>4</v>
      </c>
    </row>
    <row r="7" s="63" customFormat="1" ht="33" customHeight="1" spans="1:10">
      <c r="A7" s="33"/>
      <c r="B7" s="19" t="s">
        <v>614</v>
      </c>
      <c r="C7" s="20" t="s">
        <v>615</v>
      </c>
      <c r="D7" s="20" t="s">
        <v>23</v>
      </c>
      <c r="E7" s="20" t="s">
        <v>208</v>
      </c>
      <c r="F7" s="20">
        <v>22</v>
      </c>
      <c r="G7" s="20">
        <v>66.56</v>
      </c>
      <c r="H7" s="304" t="s">
        <v>359</v>
      </c>
      <c r="I7" s="305" t="str">
        <f>VLOOKUP(H7,Sheet4!A:B,2,)</f>
        <v>Brushed Silver</v>
      </c>
      <c r="J7" s="83">
        <f>16+4-2+2</f>
        <v>20</v>
      </c>
    </row>
    <row r="8" s="63" customFormat="1" ht="33" customHeight="1" spans="1:10">
      <c r="A8" s="33"/>
      <c r="B8" s="19" t="s">
        <v>614</v>
      </c>
      <c r="C8" s="20" t="s">
        <v>615</v>
      </c>
      <c r="D8" s="20" t="s">
        <v>482</v>
      </c>
      <c r="E8" s="20" t="s">
        <v>208</v>
      </c>
      <c r="F8" s="20">
        <v>34</v>
      </c>
      <c r="G8" s="20">
        <v>66.56</v>
      </c>
      <c r="H8" s="304" t="s">
        <v>359</v>
      </c>
      <c r="I8" s="20" t="str">
        <f>VLOOKUP(H8,Sheet4!A:B,2,)</f>
        <v>Brushed Silver</v>
      </c>
      <c r="J8" s="83">
        <f>8-2+2</f>
        <v>8</v>
      </c>
    </row>
    <row r="9" s="63" customFormat="1" ht="33" customHeight="1" spans="1:10">
      <c r="A9" s="33"/>
      <c r="B9" s="19" t="s">
        <v>616</v>
      </c>
      <c r="C9" s="20" t="s">
        <v>615</v>
      </c>
      <c r="D9" s="20" t="s">
        <v>23</v>
      </c>
      <c r="E9" s="20" t="s">
        <v>208</v>
      </c>
      <c r="F9" s="20">
        <v>22</v>
      </c>
      <c r="G9" s="20">
        <v>66.56</v>
      </c>
      <c r="H9" s="304" t="s">
        <v>617</v>
      </c>
      <c r="I9" s="20" t="s">
        <v>618</v>
      </c>
      <c r="J9" s="83">
        <v>4</v>
      </c>
    </row>
    <row r="10" s="63" customFormat="1" ht="33" customHeight="1" spans="1:10">
      <c r="A10" s="33"/>
      <c r="B10" s="19" t="s">
        <v>619</v>
      </c>
      <c r="C10" s="20" t="s">
        <v>615</v>
      </c>
      <c r="D10" s="20" t="s">
        <v>23</v>
      </c>
      <c r="E10" s="20" t="s">
        <v>13</v>
      </c>
      <c r="F10" s="20">
        <v>25</v>
      </c>
      <c r="G10" s="20">
        <v>72.56</v>
      </c>
      <c r="H10" s="304" t="s">
        <v>359</v>
      </c>
      <c r="I10" s="20" t="str">
        <f>VLOOKUP(H10,Sheet4!A:B,2,)</f>
        <v>Brushed Silver</v>
      </c>
      <c r="J10" s="83">
        <v>4</v>
      </c>
    </row>
    <row r="11" s="63" customFormat="1" ht="33" customHeight="1" spans="1:10">
      <c r="A11" s="33"/>
      <c r="B11" s="19" t="s">
        <v>619</v>
      </c>
      <c r="C11" s="20" t="s">
        <v>615</v>
      </c>
      <c r="D11" s="20" t="s">
        <v>482</v>
      </c>
      <c r="E11" s="20" t="s">
        <v>13</v>
      </c>
      <c r="F11" s="20">
        <v>35</v>
      </c>
      <c r="G11" s="20">
        <v>72.56</v>
      </c>
      <c r="H11" s="304" t="s">
        <v>359</v>
      </c>
      <c r="I11" s="20" t="str">
        <f>VLOOKUP(H11,Sheet4!A:B,2,)</f>
        <v>Brushed Silver</v>
      </c>
      <c r="J11" s="83">
        <v>4</v>
      </c>
    </row>
    <row r="12" s="63" customFormat="1" ht="33" customHeight="1" spans="1:10">
      <c r="A12" s="33"/>
      <c r="B12" s="19" t="s">
        <v>620</v>
      </c>
      <c r="C12" s="20" t="s">
        <v>615</v>
      </c>
      <c r="D12" s="20" t="s">
        <v>23</v>
      </c>
      <c r="E12" s="20" t="s">
        <v>208</v>
      </c>
      <c r="F12" s="20">
        <v>22</v>
      </c>
      <c r="G12" s="20">
        <v>66.56</v>
      </c>
      <c r="H12" s="304" t="s">
        <v>621</v>
      </c>
      <c r="I12" s="20" t="e">
        <f>VLOOKUP(H12,Sheet4!A:B,2,)</f>
        <v>#N/A</v>
      </c>
      <c r="J12" s="83">
        <v>22</v>
      </c>
    </row>
    <row r="13" s="63" customFormat="1" ht="33" customHeight="1" spans="1:10">
      <c r="A13" s="299"/>
      <c r="B13" s="49" t="s">
        <v>620</v>
      </c>
      <c r="C13" s="50" t="s">
        <v>615</v>
      </c>
      <c r="D13" s="50" t="s">
        <v>482</v>
      </c>
      <c r="E13" s="50" t="s">
        <v>208</v>
      </c>
      <c r="F13" s="50">
        <v>34</v>
      </c>
      <c r="G13" s="50">
        <v>66.56</v>
      </c>
      <c r="H13" s="300" t="s">
        <v>621</v>
      </c>
      <c r="I13" s="50" t="e">
        <f>VLOOKUP(H13,Sheet4!A:B,2,)</f>
        <v>#N/A</v>
      </c>
      <c r="J13" s="302">
        <v>10</v>
      </c>
    </row>
    <row r="14" s="63" customFormat="1" ht="58" customHeight="1" spans="1:10">
      <c r="A14" s="33"/>
      <c r="B14" s="19" t="s">
        <v>622</v>
      </c>
      <c r="C14" s="20" t="s">
        <v>615</v>
      </c>
      <c r="D14" s="20" t="s">
        <v>23</v>
      </c>
      <c r="E14" s="20" t="s">
        <v>208</v>
      </c>
      <c r="F14" s="20">
        <v>22</v>
      </c>
      <c r="G14" s="20">
        <v>66.56</v>
      </c>
      <c r="H14" s="304" t="s">
        <v>359</v>
      </c>
      <c r="I14" s="20" t="str">
        <f>VLOOKUP(H14,Sheet4!A:B,2,)</f>
        <v>Brushed Silver</v>
      </c>
      <c r="J14" s="83">
        <v>14</v>
      </c>
    </row>
    <row r="15" s="63" customFormat="1" ht="58" customHeight="1" spans="1:10">
      <c r="A15" s="299"/>
      <c r="B15" s="49" t="s">
        <v>622</v>
      </c>
      <c r="C15" s="50" t="s">
        <v>615</v>
      </c>
      <c r="D15" s="50" t="s">
        <v>482</v>
      </c>
      <c r="E15" s="50" t="s">
        <v>208</v>
      </c>
      <c r="F15" s="50">
        <v>34</v>
      </c>
      <c r="G15" s="50">
        <v>66.56</v>
      </c>
      <c r="H15" s="300" t="s">
        <v>359</v>
      </c>
      <c r="I15" s="50" t="str">
        <f>VLOOKUP(H15,Sheet4!A:B,2,)</f>
        <v>Brushed Silver</v>
      </c>
      <c r="J15" s="302">
        <v>6</v>
      </c>
    </row>
    <row r="16" s="63" customFormat="1" ht="113" customHeight="1" spans="1:10">
      <c r="A16" s="33"/>
      <c r="B16" s="19" t="s">
        <v>623</v>
      </c>
      <c r="C16" s="20" t="s">
        <v>624</v>
      </c>
      <c r="D16" s="20" t="s">
        <v>31</v>
      </c>
      <c r="E16" s="20" t="s">
        <v>40</v>
      </c>
      <c r="F16" s="20">
        <v>36</v>
      </c>
      <c r="G16" s="20">
        <v>73.1</v>
      </c>
      <c r="H16" s="20" t="s">
        <v>159</v>
      </c>
      <c r="I16" s="20" t="str">
        <f>VLOOKUP(H16,Sheet4!A:B,2,)</f>
        <v>MATTE BLACK</v>
      </c>
      <c r="J16" s="42">
        <f>8+4-4-4</f>
        <v>4</v>
      </c>
    </row>
    <row r="17" s="63" customFormat="1" ht="54" customHeight="1" spans="1:10">
      <c r="A17" s="57" t="s">
        <v>625</v>
      </c>
      <c r="B17" s="53" t="s">
        <v>625</v>
      </c>
      <c r="C17" s="54" t="s">
        <v>626</v>
      </c>
      <c r="D17" s="54" t="s">
        <v>29</v>
      </c>
      <c r="E17" s="54" t="s">
        <v>40</v>
      </c>
      <c r="F17" s="54">
        <v>35</v>
      </c>
      <c r="G17" s="54">
        <v>73.1</v>
      </c>
      <c r="H17" s="54" t="s">
        <v>159</v>
      </c>
      <c r="I17" s="54" t="s">
        <v>484</v>
      </c>
      <c r="J17" s="55">
        <f>4+8-4</f>
        <v>8</v>
      </c>
    </row>
    <row r="18" s="63" customFormat="1" ht="54" customHeight="1" spans="1:10">
      <c r="A18" s="33" t="s">
        <v>625</v>
      </c>
      <c r="B18" s="19" t="s">
        <v>627</v>
      </c>
      <c r="C18" s="20" t="s">
        <v>626</v>
      </c>
      <c r="D18" s="20" t="s">
        <v>29</v>
      </c>
      <c r="E18" s="20" t="s">
        <v>40</v>
      </c>
      <c r="F18" s="20">
        <v>35</v>
      </c>
      <c r="G18" s="20">
        <v>73.1</v>
      </c>
      <c r="H18" s="20" t="s">
        <v>288</v>
      </c>
      <c r="I18" s="20" t="s">
        <v>484</v>
      </c>
      <c r="J18" s="42">
        <f>4+8</f>
        <v>12</v>
      </c>
    </row>
    <row r="19" s="63" customFormat="1" ht="22" customHeight="1" spans="1:10">
      <c r="A19" s="57"/>
      <c r="B19" s="53" t="s">
        <v>628</v>
      </c>
      <c r="C19" s="54" t="s">
        <v>626</v>
      </c>
      <c r="D19" s="54" t="s">
        <v>23</v>
      </c>
      <c r="E19" s="54" t="s">
        <v>40</v>
      </c>
      <c r="F19" s="54">
        <v>38</v>
      </c>
      <c r="G19" s="54">
        <v>73.1</v>
      </c>
      <c r="H19" s="54" t="s">
        <v>288</v>
      </c>
      <c r="I19" s="54" t="str">
        <f>VLOOKUP(H19,Sheet4!A:B,2,)</f>
        <v>matte bronze</v>
      </c>
      <c r="J19" s="55">
        <f>4+4-4-4</f>
        <v>0</v>
      </c>
    </row>
    <row r="20" s="63" customFormat="1" ht="22" customHeight="1" spans="1:10">
      <c r="A20" s="33"/>
      <c r="B20" s="19" t="s">
        <v>629</v>
      </c>
      <c r="C20" s="20" t="s">
        <v>626</v>
      </c>
      <c r="D20" s="20" t="s">
        <v>23</v>
      </c>
      <c r="E20" s="20" t="s">
        <v>20</v>
      </c>
      <c r="F20" s="20">
        <v>40</v>
      </c>
      <c r="G20" s="20">
        <v>73.1</v>
      </c>
      <c r="H20" s="20" t="s">
        <v>16</v>
      </c>
      <c r="I20" s="20" t="str">
        <f>VLOOKUP(H20,Sheet4!A:B,2,)</f>
        <v>GLOSS BLACK</v>
      </c>
      <c r="J20" s="42">
        <f>4+4-4</f>
        <v>4</v>
      </c>
    </row>
    <row r="21" s="63" customFormat="1" ht="22" customHeight="1" spans="1:10">
      <c r="A21" s="33"/>
      <c r="B21" s="19" t="s">
        <v>630</v>
      </c>
      <c r="C21" s="20" t="s">
        <v>626</v>
      </c>
      <c r="D21" s="20" t="s">
        <v>23</v>
      </c>
      <c r="E21" s="20" t="s">
        <v>208</v>
      </c>
      <c r="F21" s="20">
        <v>28</v>
      </c>
      <c r="G21" s="20">
        <v>66.5</v>
      </c>
      <c r="H21" s="20" t="s">
        <v>288</v>
      </c>
      <c r="I21" s="20" t="str">
        <f>VLOOKUP(H21,Sheet4!A:B,2,)</f>
        <v>matte bronze</v>
      </c>
      <c r="J21" s="42">
        <v>0</v>
      </c>
    </row>
    <row r="22" s="63" customFormat="1" ht="22" customHeight="1" spans="1:10">
      <c r="A22" s="33"/>
      <c r="B22" s="19" t="s">
        <v>631</v>
      </c>
      <c r="C22" s="20" t="s">
        <v>626</v>
      </c>
      <c r="D22" s="20" t="s">
        <v>482</v>
      </c>
      <c r="E22" s="20" t="s">
        <v>208</v>
      </c>
      <c r="F22" s="20">
        <v>38</v>
      </c>
      <c r="G22" s="20">
        <v>66.5</v>
      </c>
      <c r="H22" s="20" t="s">
        <v>288</v>
      </c>
      <c r="I22" s="20" t="str">
        <f>VLOOKUP(H22,Sheet4!A:B,2,)</f>
        <v>matte bronze</v>
      </c>
      <c r="J22" s="42">
        <v>0</v>
      </c>
    </row>
    <row r="23" s="63" customFormat="1" ht="22" customHeight="1" spans="1:10">
      <c r="A23" s="33"/>
      <c r="B23" s="19" t="s">
        <v>632</v>
      </c>
      <c r="C23" s="20" t="s">
        <v>626</v>
      </c>
      <c r="D23" s="20" t="s">
        <v>29</v>
      </c>
      <c r="E23" s="20" t="s">
        <v>20</v>
      </c>
      <c r="F23" s="20">
        <v>40</v>
      </c>
      <c r="G23" s="20">
        <v>73.1</v>
      </c>
      <c r="H23" s="20" t="s">
        <v>288</v>
      </c>
      <c r="I23" s="20" t="str">
        <f>VLOOKUP(H23,Sheet4!A:B,2,)</f>
        <v>matte bronze</v>
      </c>
      <c r="J23" s="42">
        <f>12-4-4</f>
        <v>4</v>
      </c>
    </row>
    <row r="24" s="63" customFormat="1" ht="22" customHeight="1" spans="1:10">
      <c r="A24" s="33"/>
      <c r="B24" s="19" t="s">
        <v>633</v>
      </c>
      <c r="C24" s="20" t="s">
        <v>626</v>
      </c>
      <c r="D24" s="20" t="s">
        <v>29</v>
      </c>
      <c r="E24" s="20" t="s">
        <v>40</v>
      </c>
      <c r="F24" s="20">
        <v>35</v>
      </c>
      <c r="G24" s="20">
        <v>73.1</v>
      </c>
      <c r="H24" s="20" t="s">
        <v>16</v>
      </c>
      <c r="I24" s="20" t="str">
        <f>VLOOKUP(H24,Sheet4!A:B,2,)</f>
        <v>GLOSS BLACK</v>
      </c>
      <c r="J24" s="42">
        <v>8</v>
      </c>
    </row>
    <row r="25" s="63" customFormat="1" ht="22" customHeight="1" spans="1:10">
      <c r="A25" s="34"/>
      <c r="B25" s="23" t="s">
        <v>634</v>
      </c>
      <c r="C25" s="24" t="s">
        <v>626</v>
      </c>
      <c r="D25" s="24" t="s">
        <v>19</v>
      </c>
      <c r="E25" s="24" t="s">
        <v>13</v>
      </c>
      <c r="F25" s="24">
        <v>38</v>
      </c>
      <c r="G25" s="24">
        <v>72.56</v>
      </c>
      <c r="H25" s="24" t="s">
        <v>16</v>
      </c>
      <c r="I25" s="24" t="str">
        <f>VLOOKUP(H25,Sheet4!A:B,2,)</f>
        <v>GLOSS BLACK</v>
      </c>
      <c r="J25" s="43">
        <f>8-4+4-4-4</f>
        <v>0</v>
      </c>
    </row>
    <row r="26" s="63" customFormat="1" ht="22" customHeight="1" spans="1:10">
      <c r="A26" s="33"/>
      <c r="B26" s="19" t="s">
        <v>635</v>
      </c>
      <c r="C26" s="20" t="s">
        <v>636</v>
      </c>
      <c r="D26" s="20" t="s">
        <v>12</v>
      </c>
      <c r="E26" s="20" t="s">
        <v>208</v>
      </c>
      <c r="F26" s="20">
        <v>33</v>
      </c>
      <c r="G26" s="20">
        <v>66.5</v>
      </c>
      <c r="H26" s="20" t="s">
        <v>637</v>
      </c>
      <c r="I26" s="66" t="str">
        <f>VLOOKUP(H26,Sheet4!A:B,2,)</f>
        <v>MATTE Black LIP</v>
      </c>
      <c r="J26" s="42">
        <f>8-4-4+8-4-4+4-4</f>
        <v>0</v>
      </c>
    </row>
    <row r="27" s="63" customFormat="1" ht="22" customHeight="1" spans="1:10">
      <c r="A27" s="33"/>
      <c r="B27" s="19" t="s">
        <v>638</v>
      </c>
      <c r="C27" s="20" t="s">
        <v>636</v>
      </c>
      <c r="D27" s="20" t="s">
        <v>23</v>
      </c>
      <c r="E27" s="20" t="s">
        <v>13</v>
      </c>
      <c r="F27" s="20">
        <v>30</v>
      </c>
      <c r="G27" s="20">
        <v>72.56</v>
      </c>
      <c r="H27" s="20" t="s">
        <v>637</v>
      </c>
      <c r="I27" s="66" t="str">
        <f>VLOOKUP(H27,Sheet4!A:B,2,)</f>
        <v>MATTE Black LIP</v>
      </c>
      <c r="J27" s="42">
        <f>8-2-4+4-1-4+4+1+1-1-4+4+4-4-4</f>
        <v>2</v>
      </c>
    </row>
    <row r="28" s="63" customFormat="1" ht="22" customHeight="1" spans="1:10">
      <c r="A28" s="33"/>
      <c r="B28" s="19" t="s">
        <v>639</v>
      </c>
      <c r="C28" s="20" t="s">
        <v>636</v>
      </c>
      <c r="D28" s="20" t="s">
        <v>482</v>
      </c>
      <c r="E28" s="20" t="s">
        <v>13</v>
      </c>
      <c r="F28" s="20">
        <v>38</v>
      </c>
      <c r="G28" s="20">
        <v>72.56</v>
      </c>
      <c r="H28" s="20" t="s">
        <v>637</v>
      </c>
      <c r="I28" s="66" t="str">
        <f>VLOOKUP(H28,Sheet4!A:B,2,)</f>
        <v>MATTE Black LIP</v>
      </c>
      <c r="J28" s="42">
        <v>2</v>
      </c>
    </row>
    <row r="29" s="63" customFormat="1" ht="22" customHeight="1" spans="1:10">
      <c r="A29" s="33"/>
      <c r="B29" s="19" t="s">
        <v>640</v>
      </c>
      <c r="C29" s="20" t="s">
        <v>636</v>
      </c>
      <c r="D29" s="20" t="s">
        <v>23</v>
      </c>
      <c r="E29" s="20" t="s">
        <v>208</v>
      </c>
      <c r="F29" s="20">
        <v>25</v>
      </c>
      <c r="G29" s="20">
        <v>66.45</v>
      </c>
      <c r="H29" s="20" t="s">
        <v>637</v>
      </c>
      <c r="I29" s="66" t="str">
        <f>VLOOKUP(H29,Sheet4!A:B,2,)</f>
        <v>MATTE Black LIP</v>
      </c>
      <c r="J29" s="42">
        <v>0</v>
      </c>
    </row>
    <row r="30" s="63" customFormat="1" ht="22" customHeight="1" spans="1:10">
      <c r="A30" s="33"/>
      <c r="B30" s="19" t="s">
        <v>641</v>
      </c>
      <c r="C30" s="20" t="s">
        <v>636</v>
      </c>
      <c r="D30" s="20" t="s">
        <v>23</v>
      </c>
      <c r="E30" s="20" t="s">
        <v>208</v>
      </c>
      <c r="F30" s="20">
        <v>25</v>
      </c>
      <c r="G30" s="20">
        <v>66.56</v>
      </c>
      <c r="H30" s="20" t="s">
        <v>637</v>
      </c>
      <c r="I30" s="66" t="str">
        <f>VLOOKUP(H30,Sheet4!A:B,2,)</f>
        <v>MATTE Black LIP</v>
      </c>
      <c r="J30" s="42">
        <f>6-4-1-1</f>
        <v>0</v>
      </c>
    </row>
    <row r="31" s="63" customFormat="1" ht="22" customHeight="1" spans="1:10">
      <c r="A31" s="33"/>
      <c r="B31" s="19" t="s">
        <v>642</v>
      </c>
      <c r="C31" s="20" t="s">
        <v>636</v>
      </c>
      <c r="D31" s="20" t="s">
        <v>23</v>
      </c>
      <c r="E31" s="20" t="s">
        <v>208</v>
      </c>
      <c r="F31" s="20">
        <v>28</v>
      </c>
      <c r="G31" s="20">
        <v>66.56</v>
      </c>
      <c r="H31" s="20" t="s">
        <v>637</v>
      </c>
      <c r="I31" s="66" t="str">
        <f>VLOOKUP(H31,Sheet4!A:B,2,)</f>
        <v>MATTE Black LIP</v>
      </c>
      <c r="J31" s="42">
        <f>12-4-2-4-2+8-2-2+2-4+4-2-4+2+4-4-2+6-1-4+9-4-4-2</f>
        <v>0</v>
      </c>
    </row>
    <row r="32" s="63" customFormat="1" ht="22" customHeight="1" spans="1:10">
      <c r="A32" s="34"/>
      <c r="B32" s="23" t="s">
        <v>643</v>
      </c>
      <c r="C32" s="24" t="s">
        <v>636</v>
      </c>
      <c r="D32" s="24" t="s">
        <v>482</v>
      </c>
      <c r="E32" s="24" t="s">
        <v>208</v>
      </c>
      <c r="F32" s="24">
        <v>38</v>
      </c>
      <c r="G32" s="24">
        <v>66.56</v>
      </c>
      <c r="H32" s="24" t="s">
        <v>637</v>
      </c>
      <c r="I32" s="69" t="str">
        <f>VLOOKUP(H32,Sheet4!A:B,2,)</f>
        <v>MATTE Black LIP</v>
      </c>
      <c r="J32" s="306">
        <f>2-2+4-2-2+2-2+2-2+2-2</f>
        <v>0</v>
      </c>
    </row>
    <row r="33" ht="21" customHeight="1" spans="1:10">
      <c r="A33" s="52"/>
      <c r="B33" s="53" t="s">
        <v>644</v>
      </c>
      <c r="C33" s="54" t="s">
        <v>645</v>
      </c>
      <c r="D33" s="54" t="s">
        <v>23</v>
      </c>
      <c r="E33" s="287" t="s">
        <v>20</v>
      </c>
      <c r="F33" s="287">
        <v>40</v>
      </c>
      <c r="G33" s="287">
        <v>63.4</v>
      </c>
      <c r="H33" s="54" t="s">
        <v>288</v>
      </c>
      <c r="I33" s="54" t="str">
        <f>VLOOKUP(H33,Sheet4!A:B,2,)</f>
        <v>matte bronze</v>
      </c>
      <c r="J33" s="55">
        <f>4-4+4-4+4-4+4-4</f>
        <v>0</v>
      </c>
    </row>
    <row r="34" ht="21" customHeight="1" spans="1:10">
      <c r="A34" s="44"/>
      <c r="B34" s="19" t="s">
        <v>646</v>
      </c>
      <c r="C34" s="20" t="s">
        <v>645</v>
      </c>
      <c r="D34" s="20" t="s">
        <v>23</v>
      </c>
      <c r="E34" s="142" t="s">
        <v>20</v>
      </c>
      <c r="F34" s="142">
        <v>40</v>
      </c>
      <c r="G34" s="142">
        <v>63.4</v>
      </c>
      <c r="H34" s="148" t="s">
        <v>16</v>
      </c>
      <c r="I34" s="148" t="str">
        <f>VLOOKUP(H34,Sheet4!A:B,2,)</f>
        <v>GLOSS BLACK</v>
      </c>
      <c r="J34" s="42">
        <f>4-4+4-4+4-4</f>
        <v>0</v>
      </c>
    </row>
    <row r="35" s="63" customFormat="1" ht="21" customHeight="1" spans="1:10">
      <c r="A35" s="44"/>
      <c r="B35" s="19" t="s">
        <v>647</v>
      </c>
      <c r="C35" s="20" t="s">
        <v>645</v>
      </c>
      <c r="D35" s="20" t="s">
        <v>23</v>
      </c>
      <c r="E35" s="20" t="s">
        <v>13</v>
      </c>
      <c r="F35" s="20">
        <v>30</v>
      </c>
      <c r="G35" s="20">
        <v>72.56</v>
      </c>
      <c r="H35" s="20" t="s">
        <v>288</v>
      </c>
      <c r="I35" s="20" t="str">
        <f>VLOOKUP(H35,Sheet4!A:B,2,)</f>
        <v>matte bronze</v>
      </c>
      <c r="J35" s="42">
        <f>4-2</f>
        <v>2</v>
      </c>
    </row>
    <row r="36" s="63" customFormat="1" ht="21" customHeight="1" spans="1:10">
      <c r="A36" s="44"/>
      <c r="B36" s="19" t="s">
        <v>648</v>
      </c>
      <c r="C36" s="20" t="s">
        <v>645</v>
      </c>
      <c r="D36" s="20" t="s">
        <v>482</v>
      </c>
      <c r="E36" s="20" t="s">
        <v>13</v>
      </c>
      <c r="F36" s="20">
        <v>38</v>
      </c>
      <c r="G36" s="20">
        <v>72.56</v>
      </c>
      <c r="H36" s="20" t="s">
        <v>288</v>
      </c>
      <c r="I36" s="20" t="str">
        <f>VLOOKUP(H36,Sheet4!A:B,2,)</f>
        <v>matte bronze</v>
      </c>
      <c r="J36" s="42">
        <f>4-2</f>
        <v>2</v>
      </c>
    </row>
    <row r="37" s="63" customFormat="1" ht="21" customHeight="1" spans="1:10">
      <c r="A37" s="44"/>
      <c r="B37" s="19" t="s">
        <v>649</v>
      </c>
      <c r="C37" s="20" t="s">
        <v>645</v>
      </c>
      <c r="D37" s="20" t="s">
        <v>23</v>
      </c>
      <c r="E37" s="20" t="s">
        <v>208</v>
      </c>
      <c r="F37" s="20">
        <v>28</v>
      </c>
      <c r="G37" s="20">
        <v>66.56</v>
      </c>
      <c r="H37" s="20" t="s">
        <v>288</v>
      </c>
      <c r="I37" s="20" t="str">
        <f>VLOOKUP(H37,Sheet4!A:B,2,)</f>
        <v>matte bronze</v>
      </c>
      <c r="J37" s="42">
        <f>12-2-2-4-4+6-2-4+2-2</f>
        <v>0</v>
      </c>
    </row>
    <row r="38" s="63" customFormat="1" ht="21" customHeight="1" spans="1:10">
      <c r="A38" s="44"/>
      <c r="B38" s="19" t="s">
        <v>650</v>
      </c>
      <c r="C38" s="20" t="s">
        <v>645</v>
      </c>
      <c r="D38" s="20" t="s">
        <v>482</v>
      </c>
      <c r="E38" s="20" t="s">
        <v>208</v>
      </c>
      <c r="F38" s="20">
        <v>38</v>
      </c>
      <c r="G38" s="20">
        <v>66.56</v>
      </c>
      <c r="H38" s="20" t="s">
        <v>288</v>
      </c>
      <c r="I38" s="20" t="str">
        <f>VLOOKUP(H38,Sheet4!A:B,2,)</f>
        <v>matte bronze</v>
      </c>
      <c r="J38" s="42">
        <f>4-2-2+2-2+2-2</f>
        <v>0</v>
      </c>
    </row>
    <row r="39" s="63" customFormat="1" ht="21" customHeight="1" spans="1:10">
      <c r="A39" s="33"/>
      <c r="B39" s="19" t="s">
        <v>651</v>
      </c>
      <c r="C39" s="20" t="s">
        <v>645</v>
      </c>
      <c r="D39" s="20" t="s">
        <v>23</v>
      </c>
      <c r="E39" s="20" t="s">
        <v>208</v>
      </c>
      <c r="F39" s="20">
        <v>28</v>
      </c>
      <c r="G39" s="20">
        <v>66.56</v>
      </c>
      <c r="H39" s="20" t="s">
        <v>16</v>
      </c>
      <c r="I39" s="20" t="str">
        <f>VLOOKUP(H39,Sheet4!A:B,2,)</f>
        <v>GLOSS BLACK</v>
      </c>
      <c r="J39" s="42">
        <f>12-4-2-4-2+2+4-2+2-2</f>
        <v>4</v>
      </c>
    </row>
    <row r="40" s="63" customFormat="1" ht="21" customHeight="1" spans="1:10">
      <c r="A40" s="33"/>
      <c r="B40" s="19" t="s">
        <v>652</v>
      </c>
      <c r="C40" s="20" t="s">
        <v>645</v>
      </c>
      <c r="D40" s="20" t="s">
        <v>482</v>
      </c>
      <c r="E40" s="20" t="s">
        <v>208</v>
      </c>
      <c r="F40" s="20">
        <v>38</v>
      </c>
      <c r="G40" s="20">
        <v>66.56</v>
      </c>
      <c r="H40" s="20" t="s">
        <v>16</v>
      </c>
      <c r="I40" s="20" t="str">
        <f>VLOOKUP(H40,Sheet4!A:B,2,)</f>
        <v>GLOSS BLACK</v>
      </c>
      <c r="J40" s="42">
        <f>4-2-2+2-2+2-2</f>
        <v>0</v>
      </c>
    </row>
    <row r="41" s="63" customFormat="1" ht="21" customHeight="1" spans="1:10">
      <c r="A41" s="33"/>
      <c r="B41" s="19" t="s">
        <v>653</v>
      </c>
      <c r="C41" s="20" t="s">
        <v>645</v>
      </c>
      <c r="D41" s="20" t="s">
        <v>23</v>
      </c>
      <c r="E41" s="20" t="s">
        <v>40</v>
      </c>
      <c r="F41" s="20">
        <v>38</v>
      </c>
      <c r="G41" s="20">
        <v>73.1</v>
      </c>
      <c r="H41" s="20" t="s">
        <v>288</v>
      </c>
      <c r="I41" s="20" t="str">
        <f>VLOOKUP(H41,Sheet4!A:B,2,)</f>
        <v>matte bronze</v>
      </c>
      <c r="J41" s="42">
        <f>4-4</f>
        <v>0</v>
      </c>
    </row>
    <row r="42" s="63" customFormat="1" ht="21" customHeight="1" spans="1:10">
      <c r="A42" s="33"/>
      <c r="B42" s="19" t="s">
        <v>654</v>
      </c>
      <c r="C42" s="20" t="s">
        <v>645</v>
      </c>
      <c r="D42" s="20" t="s">
        <v>23</v>
      </c>
      <c r="E42" s="20" t="s">
        <v>40</v>
      </c>
      <c r="F42" s="20">
        <v>38</v>
      </c>
      <c r="G42" s="20">
        <v>73.1</v>
      </c>
      <c r="H42" s="20" t="s">
        <v>16</v>
      </c>
      <c r="I42" s="20" t="str">
        <f>VLOOKUP(H42,Sheet4!A:B,2,)</f>
        <v>GLOSS BLACK</v>
      </c>
      <c r="J42" s="42">
        <f>5-1-4+1-1</f>
        <v>0</v>
      </c>
    </row>
    <row r="43" s="63" customFormat="1" ht="21" customHeight="1" spans="1:10">
      <c r="A43" s="33"/>
      <c r="B43" s="19" t="s">
        <v>655</v>
      </c>
      <c r="C43" s="20" t="s">
        <v>645</v>
      </c>
      <c r="D43" s="20" t="s">
        <v>23</v>
      </c>
      <c r="E43" s="20" t="s">
        <v>13</v>
      </c>
      <c r="F43" s="20">
        <v>30</v>
      </c>
      <c r="G43" s="20">
        <v>72.56</v>
      </c>
      <c r="H43" s="20" t="s">
        <v>16</v>
      </c>
      <c r="I43" s="20" t="str">
        <f>VLOOKUP(H43,Sheet4!A:B,2,)</f>
        <v>GLOSS BLACK</v>
      </c>
      <c r="J43" s="42">
        <f>4-4+5-1+4-4</f>
        <v>4</v>
      </c>
    </row>
    <row r="44" s="63" customFormat="1" ht="21" customHeight="1" spans="1:10">
      <c r="A44" s="33"/>
      <c r="B44" s="19" t="s">
        <v>656</v>
      </c>
      <c r="C44" s="20" t="s">
        <v>645</v>
      </c>
      <c r="D44" s="20" t="s">
        <v>482</v>
      </c>
      <c r="E44" s="20" t="s">
        <v>13</v>
      </c>
      <c r="F44" s="20">
        <v>38</v>
      </c>
      <c r="G44" s="20">
        <v>72.56</v>
      </c>
      <c r="H44" s="20" t="s">
        <v>16</v>
      </c>
      <c r="I44" s="20" t="str">
        <f>VLOOKUP(H44,Sheet4!A:B,2,)</f>
        <v>GLOSS BLACK</v>
      </c>
      <c r="J44" s="42">
        <v>4</v>
      </c>
    </row>
    <row r="45" s="63" customFormat="1" ht="21" customHeight="1" spans="1:10">
      <c r="A45" s="33"/>
      <c r="B45" s="19" t="s">
        <v>657</v>
      </c>
      <c r="C45" s="20" t="s">
        <v>645</v>
      </c>
      <c r="D45" s="20" t="s">
        <v>29</v>
      </c>
      <c r="E45" s="20" t="s">
        <v>208</v>
      </c>
      <c r="F45" s="20">
        <v>30</v>
      </c>
      <c r="G45" s="20">
        <v>66.56</v>
      </c>
      <c r="H45" s="20" t="s">
        <v>288</v>
      </c>
      <c r="I45" s="20" t="str">
        <f>VLOOKUP(H45,Sheet4!A:B,2,)</f>
        <v>matte bronze</v>
      </c>
      <c r="J45" s="42">
        <f>2+4-2+2-2</f>
        <v>4</v>
      </c>
    </row>
    <row r="46" s="63" customFormat="1" ht="21" customHeight="1" spans="1:10">
      <c r="A46" s="33"/>
      <c r="B46" s="19" t="s">
        <v>658</v>
      </c>
      <c r="C46" s="20" t="s">
        <v>645</v>
      </c>
      <c r="D46" s="20" t="s">
        <v>225</v>
      </c>
      <c r="E46" s="20" t="s">
        <v>208</v>
      </c>
      <c r="F46" s="20">
        <v>38</v>
      </c>
      <c r="G46" s="20">
        <v>66.56</v>
      </c>
      <c r="H46" s="20" t="s">
        <v>288</v>
      </c>
      <c r="I46" s="20" t="str">
        <f>VLOOKUP(H46,Sheet4!A:B,2,)</f>
        <v>matte bronze</v>
      </c>
      <c r="J46" s="42">
        <f>2-2+2-2</f>
        <v>0</v>
      </c>
    </row>
    <row r="47" s="63" customFormat="1" ht="21" customHeight="1" spans="1:10">
      <c r="A47" s="33"/>
      <c r="B47" s="19" t="s">
        <v>659</v>
      </c>
      <c r="C47" s="20" t="s">
        <v>645</v>
      </c>
      <c r="D47" s="20" t="s">
        <v>29</v>
      </c>
      <c r="E47" s="20" t="s">
        <v>208</v>
      </c>
      <c r="F47" s="20">
        <v>30</v>
      </c>
      <c r="G47" s="20">
        <v>66.56</v>
      </c>
      <c r="H47" s="20" t="s">
        <v>16</v>
      </c>
      <c r="I47" s="20" t="str">
        <f>VLOOKUP(H47,Sheet4!A:B,2,)</f>
        <v>GLOSS BLACK</v>
      </c>
      <c r="J47" s="42">
        <v>0</v>
      </c>
    </row>
    <row r="48" s="63" customFormat="1" ht="21" customHeight="1" spans="1:10">
      <c r="A48" s="33"/>
      <c r="B48" s="19" t="s">
        <v>660</v>
      </c>
      <c r="C48" s="20" t="s">
        <v>645</v>
      </c>
      <c r="D48" s="20" t="s">
        <v>225</v>
      </c>
      <c r="E48" s="20" t="s">
        <v>208</v>
      </c>
      <c r="F48" s="20">
        <v>38</v>
      </c>
      <c r="G48" s="20">
        <v>66.56</v>
      </c>
      <c r="H48" s="20" t="s">
        <v>16</v>
      </c>
      <c r="I48" s="20" t="str">
        <f>VLOOKUP(H48,Sheet4!A:B,2,)</f>
        <v>GLOSS BLACK</v>
      </c>
      <c r="J48" s="42">
        <v>0</v>
      </c>
    </row>
    <row r="49" s="63" customFormat="1" ht="21" customHeight="1" spans="1:10">
      <c r="A49" s="34"/>
      <c r="B49" s="23" t="s">
        <v>661</v>
      </c>
      <c r="C49" s="24" t="s">
        <v>645</v>
      </c>
      <c r="D49" s="24" t="s">
        <v>29</v>
      </c>
      <c r="E49" s="24" t="s">
        <v>40</v>
      </c>
      <c r="F49" s="24">
        <v>35</v>
      </c>
      <c r="G49" s="24">
        <v>73.1</v>
      </c>
      <c r="H49" s="24" t="s">
        <v>102</v>
      </c>
      <c r="I49" s="24" t="str">
        <f>VLOOKUP(H49,Sheet4!A:B,2,)</f>
        <v>MATTE BLACK</v>
      </c>
      <c r="J49" s="43">
        <f>4-4+8-4-4+4-4</f>
        <v>0</v>
      </c>
    </row>
    <row r="50" ht="18" customHeight="1" spans="1:10">
      <c r="A50" s="44"/>
      <c r="B50" s="19" t="s">
        <v>662</v>
      </c>
      <c r="C50" s="20" t="s">
        <v>645</v>
      </c>
      <c r="D50" s="20" t="s">
        <v>12</v>
      </c>
      <c r="E50" s="20" t="s">
        <v>20</v>
      </c>
      <c r="F50" s="20">
        <v>38</v>
      </c>
      <c r="G50" s="20">
        <v>63.4</v>
      </c>
      <c r="H50" s="20" t="s">
        <v>67</v>
      </c>
      <c r="I50" s="20" t="str">
        <f>VLOOKUP(H50,Sheet4!A:B,2,)</f>
        <v>silver plating</v>
      </c>
      <c r="J50" s="42">
        <f>4-4+8-4-1+1-4+8-4-2+1+4+1-4-4+8-4-4+4-4+8-4-4+8-4-4+8-4-4</f>
        <v>0</v>
      </c>
    </row>
    <row r="51" ht="18" customHeight="1" spans="1:10">
      <c r="A51" s="44"/>
      <c r="B51" s="19" t="s">
        <v>663</v>
      </c>
      <c r="C51" s="20" t="s">
        <v>645</v>
      </c>
      <c r="D51" s="20" t="s">
        <v>12</v>
      </c>
      <c r="E51" s="20" t="s">
        <v>20</v>
      </c>
      <c r="F51" s="20">
        <v>38</v>
      </c>
      <c r="G51" s="20">
        <v>63.4</v>
      </c>
      <c r="H51" s="20" t="s">
        <v>288</v>
      </c>
      <c r="I51" s="20" t="str">
        <f>VLOOKUP(H51,Sheet4!A:B,2,)</f>
        <v>matte bronze</v>
      </c>
      <c r="J51" s="42">
        <f>12-4-4-4</f>
        <v>0</v>
      </c>
    </row>
    <row r="52" ht="18" customHeight="1" spans="1:10">
      <c r="A52" s="44"/>
      <c r="B52" s="19" t="s">
        <v>664</v>
      </c>
      <c r="C52" s="20" t="s">
        <v>645</v>
      </c>
      <c r="D52" s="20" t="s">
        <v>12</v>
      </c>
      <c r="E52" s="20" t="s">
        <v>13</v>
      </c>
      <c r="F52" s="20">
        <v>30</v>
      </c>
      <c r="G52" s="20">
        <v>72.56</v>
      </c>
      <c r="H52" s="20" t="s">
        <v>67</v>
      </c>
      <c r="I52" s="20" t="str">
        <f>VLOOKUP(H52,Sheet4!A:B,2,)</f>
        <v>silver plating</v>
      </c>
      <c r="J52" s="42">
        <f>4+8-4-4-4+4-4+8-4-4+4-4+8-4+4-4-4</f>
        <v>0</v>
      </c>
    </row>
    <row r="53" s="63" customFormat="1" ht="18" customHeight="1" spans="1:10">
      <c r="A53" s="44"/>
      <c r="B53" s="19" t="s">
        <v>665</v>
      </c>
      <c r="C53" s="20" t="s">
        <v>645</v>
      </c>
      <c r="D53" s="20" t="s">
        <v>12</v>
      </c>
      <c r="E53" s="20" t="s">
        <v>208</v>
      </c>
      <c r="F53" s="20">
        <v>30</v>
      </c>
      <c r="G53" s="20">
        <v>66.56</v>
      </c>
      <c r="H53" s="20" t="s">
        <v>288</v>
      </c>
      <c r="I53" s="20" t="str">
        <f>VLOOKUP(H53,Sheet4!A:B,2,)</f>
        <v>matte bronze</v>
      </c>
      <c r="J53" s="42">
        <f>12-4-4+4-4+4-4-4+4-4+8-4-4</f>
        <v>0</v>
      </c>
    </row>
    <row r="54" s="63" customFormat="1" ht="18" customHeight="1" spans="1:10">
      <c r="A54" s="44"/>
      <c r="B54" s="19" t="s">
        <v>666</v>
      </c>
      <c r="C54" s="20" t="s">
        <v>645</v>
      </c>
      <c r="D54" s="20" t="s">
        <v>12</v>
      </c>
      <c r="E54" s="20" t="s">
        <v>208</v>
      </c>
      <c r="F54" s="20">
        <v>30</v>
      </c>
      <c r="G54" s="20">
        <v>66.56</v>
      </c>
      <c r="H54" s="20" t="s">
        <v>67</v>
      </c>
      <c r="I54" s="20" t="str">
        <f>VLOOKUP(H54,Sheet4!A:B,2,)</f>
        <v>silver plating</v>
      </c>
      <c r="J54" s="42">
        <f>4+8-4-1+1-4+4+4-4-4-4+4+4-4-4+4-4+8-4-4+8-4+4-4-4+12+4-4-4-4-4+4</f>
        <v>4</v>
      </c>
    </row>
    <row r="55" s="63" customFormat="1" ht="18" customHeight="1" spans="1:10">
      <c r="A55" s="44"/>
      <c r="B55" s="19" t="s">
        <v>667</v>
      </c>
      <c r="C55" s="20" t="s">
        <v>645</v>
      </c>
      <c r="D55" s="20" t="s">
        <v>23</v>
      </c>
      <c r="E55" s="20" t="s">
        <v>13</v>
      </c>
      <c r="F55" s="20">
        <v>30</v>
      </c>
      <c r="G55" s="20">
        <v>72.56</v>
      </c>
      <c r="H55" s="20" t="s">
        <v>288</v>
      </c>
      <c r="I55" s="20" t="str">
        <f>VLOOKUP(H55,Sheet4!A:B,2,)</f>
        <v>matte bronze</v>
      </c>
      <c r="J55" s="42">
        <f>8-2-4</f>
        <v>2</v>
      </c>
    </row>
    <row r="56" s="63" customFormat="1" ht="18" customHeight="1" spans="1:10">
      <c r="A56" s="44"/>
      <c r="B56" s="19" t="s">
        <v>667</v>
      </c>
      <c r="C56" s="20" t="s">
        <v>645</v>
      </c>
      <c r="D56" s="20" t="s">
        <v>482</v>
      </c>
      <c r="E56" s="20" t="s">
        <v>13</v>
      </c>
      <c r="F56" s="20">
        <v>38</v>
      </c>
      <c r="G56" s="20">
        <v>72.56</v>
      </c>
      <c r="H56" s="20" t="s">
        <v>288</v>
      </c>
      <c r="I56" s="20" t="str">
        <f>VLOOKUP(H56,Sheet4!A:B,2,)</f>
        <v>matte bronze</v>
      </c>
      <c r="J56" s="42">
        <f>4-2</f>
        <v>2</v>
      </c>
    </row>
    <row r="57" s="63" customFormat="1" ht="18" customHeight="1" spans="1:10">
      <c r="A57" s="33"/>
      <c r="B57" s="19" t="s">
        <v>668</v>
      </c>
      <c r="C57" s="20" t="s">
        <v>645</v>
      </c>
      <c r="D57" s="20" t="s">
        <v>23</v>
      </c>
      <c r="E57" s="20" t="s">
        <v>208</v>
      </c>
      <c r="F57" s="20">
        <v>28</v>
      </c>
      <c r="G57" s="20">
        <v>66.56</v>
      </c>
      <c r="H57" s="20" t="s">
        <v>288</v>
      </c>
      <c r="I57" s="20" t="str">
        <f>VLOOKUP(H57,Sheet4!A:B,2,)</f>
        <v>matte bronze</v>
      </c>
      <c r="J57" s="42">
        <f>6-2+2+2-4-2+4-4-2+6-2+2-2+8-2+2-4-4-2-2+8-2-4+4-4-2+4-2-2+2-2</f>
        <v>0</v>
      </c>
    </row>
    <row r="58" s="63" customFormat="1" ht="18" customHeight="1" spans="1:10">
      <c r="A58" s="33"/>
      <c r="B58" s="19" t="s">
        <v>669</v>
      </c>
      <c r="C58" s="20" t="s">
        <v>645</v>
      </c>
      <c r="D58" s="20" t="s">
        <v>482</v>
      </c>
      <c r="E58" s="20" t="s">
        <v>208</v>
      </c>
      <c r="F58" s="20">
        <v>38</v>
      </c>
      <c r="G58" s="20">
        <v>66.56</v>
      </c>
      <c r="H58" s="20" t="s">
        <v>288</v>
      </c>
      <c r="I58" s="20" t="str">
        <f>VLOOKUP(H58,Sheet4!A:B,2,)</f>
        <v>matte bronze</v>
      </c>
      <c r="J58" s="42">
        <f>2-2+2+2-2-2+2-2+2-2+4-2+2-2-2+4-2-2+4-2-2+2-2</f>
        <v>0</v>
      </c>
    </row>
    <row r="59" s="63" customFormat="1" ht="18" customHeight="1" spans="1:10">
      <c r="A59" s="33"/>
      <c r="B59" s="19" t="s">
        <v>670</v>
      </c>
      <c r="C59" s="20" t="s">
        <v>645</v>
      </c>
      <c r="D59" s="20" t="s">
        <v>23</v>
      </c>
      <c r="E59" s="20" t="s">
        <v>40</v>
      </c>
      <c r="F59" s="20">
        <v>38</v>
      </c>
      <c r="G59" s="20">
        <v>73.1</v>
      </c>
      <c r="H59" s="20" t="s">
        <v>288</v>
      </c>
      <c r="I59" s="20" t="str">
        <f>VLOOKUP(H59,Sheet4!A:B,2,)</f>
        <v>matte bronze</v>
      </c>
      <c r="J59" s="42">
        <f>8-4-4+4-4+4-4+4-4+4-4+8-4+4-4+4-4+4</f>
        <v>8</v>
      </c>
    </row>
    <row r="60" s="63" customFormat="1" ht="18" customHeight="1" spans="1:10">
      <c r="A60" s="33"/>
      <c r="B60" s="19" t="s">
        <v>671</v>
      </c>
      <c r="C60" s="20" t="s">
        <v>645</v>
      </c>
      <c r="D60" s="20" t="s">
        <v>23</v>
      </c>
      <c r="E60" s="20" t="s">
        <v>20</v>
      </c>
      <c r="F60" s="20">
        <v>40</v>
      </c>
      <c r="G60" s="20">
        <v>63.4</v>
      </c>
      <c r="H60" s="20" t="s">
        <v>288</v>
      </c>
      <c r="I60" s="20" t="str">
        <f>VLOOKUP(H60,Sheet4!A:B,2,)</f>
        <v>matte bronze</v>
      </c>
      <c r="J60" s="42">
        <f>12-4-4-4+8-4-4</f>
        <v>0</v>
      </c>
    </row>
    <row r="61" s="63" customFormat="1" ht="18" customHeight="1" spans="1:10">
      <c r="A61" s="33"/>
      <c r="B61" s="19" t="s">
        <v>672</v>
      </c>
      <c r="C61" s="20" t="s">
        <v>645</v>
      </c>
      <c r="D61" s="20" t="s">
        <v>23</v>
      </c>
      <c r="E61" s="20" t="s">
        <v>20</v>
      </c>
      <c r="F61" s="20">
        <v>40</v>
      </c>
      <c r="G61" s="20">
        <v>63.4</v>
      </c>
      <c r="H61" s="20" t="s">
        <v>67</v>
      </c>
      <c r="I61" s="20" t="str">
        <f>VLOOKUP(H61,Sheet4!A:B,2,)</f>
        <v>silver plating</v>
      </c>
      <c r="J61" s="42">
        <f>4-4+4-4+4-4+4-4+4-4+4-4+8+4+4-4-4-4-4</f>
        <v>0</v>
      </c>
    </row>
    <row r="62" s="63" customFormat="1" ht="18" customHeight="1" spans="1:10">
      <c r="A62" s="33"/>
      <c r="B62" s="19" t="s">
        <v>673</v>
      </c>
      <c r="C62" s="20" t="s">
        <v>645</v>
      </c>
      <c r="D62" s="20" t="s">
        <v>23</v>
      </c>
      <c r="E62" s="20" t="s">
        <v>13</v>
      </c>
      <c r="F62" s="20">
        <v>30</v>
      </c>
      <c r="G62" s="20">
        <v>72.56</v>
      </c>
      <c r="H62" s="20" t="s">
        <v>67</v>
      </c>
      <c r="I62" s="20" t="str">
        <f>VLOOKUP(H62,Sheet4!A:B,2,)</f>
        <v>silver plating</v>
      </c>
      <c r="J62" s="42">
        <f>2+4-4+4-2+8-4-4-4+8+4-4-4-4+4-4+4-2+4-4+12-4-4-4+2-1+1-4+8-2-4-2+2+16-2-4-4+8-4-4-2-4-2+2-2</f>
        <v>0</v>
      </c>
    </row>
    <row r="63" s="63" customFormat="1" ht="18" customHeight="1" spans="1:10">
      <c r="A63" s="33"/>
      <c r="B63" s="19" t="s">
        <v>674</v>
      </c>
      <c r="C63" s="20" t="s">
        <v>645</v>
      </c>
      <c r="D63" s="20" t="s">
        <v>482</v>
      </c>
      <c r="E63" s="20" t="s">
        <v>13</v>
      </c>
      <c r="F63" s="20">
        <v>38</v>
      </c>
      <c r="G63" s="20">
        <v>72.56</v>
      </c>
      <c r="H63" s="20" t="s">
        <v>67</v>
      </c>
      <c r="I63" s="20" t="str">
        <f>VLOOKUP(H63,Sheet4!A:B,2,)</f>
        <v>silver plating</v>
      </c>
      <c r="J63" s="42">
        <f>2-2+4+4-2+4-2-2+2+2-2-2-2-2</f>
        <v>2</v>
      </c>
    </row>
    <row r="64" s="63" customFormat="1" ht="18" customHeight="1" spans="1:10">
      <c r="A64" s="33"/>
      <c r="B64" s="19" t="s">
        <v>675</v>
      </c>
      <c r="C64" s="20" t="s">
        <v>645</v>
      </c>
      <c r="D64" s="20" t="s">
        <v>23</v>
      </c>
      <c r="E64" s="20" t="s">
        <v>208</v>
      </c>
      <c r="F64" s="20">
        <v>28</v>
      </c>
      <c r="G64" s="20">
        <v>66.56</v>
      </c>
      <c r="H64" s="20" t="s">
        <v>67</v>
      </c>
      <c r="I64" s="20" t="str">
        <f>VLOOKUP(H64,Sheet4!A:B,2,)</f>
        <v>silver plating</v>
      </c>
      <c r="J64" s="42">
        <v>4</v>
      </c>
    </row>
    <row r="65" s="63" customFormat="1" ht="18" customHeight="1" spans="1:10">
      <c r="A65" s="33"/>
      <c r="B65" s="19" t="s">
        <v>676</v>
      </c>
      <c r="C65" s="20" t="s">
        <v>645</v>
      </c>
      <c r="D65" s="20" t="s">
        <v>482</v>
      </c>
      <c r="E65" s="20" t="s">
        <v>208</v>
      </c>
      <c r="F65" s="20">
        <v>38</v>
      </c>
      <c r="G65" s="20">
        <v>66.56</v>
      </c>
      <c r="H65" s="20" t="s">
        <v>67</v>
      </c>
      <c r="I65" s="20" t="str">
        <f>VLOOKUP(H65,Sheet4!A:B,2,)</f>
        <v>silver plating</v>
      </c>
      <c r="J65" s="42">
        <v>0</v>
      </c>
    </row>
    <row r="66" s="63" customFormat="1" ht="18" customHeight="1" spans="1:10">
      <c r="A66" s="33"/>
      <c r="B66" s="19" t="s">
        <v>677</v>
      </c>
      <c r="C66" s="20" t="s">
        <v>645</v>
      </c>
      <c r="D66" s="20" t="s">
        <v>23</v>
      </c>
      <c r="E66" s="20" t="s">
        <v>40</v>
      </c>
      <c r="F66" s="20">
        <v>38</v>
      </c>
      <c r="G66" s="20">
        <v>73.1</v>
      </c>
      <c r="H66" s="20" t="s">
        <v>67</v>
      </c>
      <c r="I66" s="20" t="str">
        <f>VLOOKUP(H66,Sheet4!A:B,2,)</f>
        <v>silver plating</v>
      </c>
      <c r="J66" s="42">
        <f>4-4+4+4-4+4-4-4+8-4-4+8-4-4</f>
        <v>0</v>
      </c>
    </row>
    <row r="67" s="63" customFormat="1" ht="18" customHeight="1" spans="1:10">
      <c r="A67" s="33"/>
      <c r="B67" s="19" t="s">
        <v>678</v>
      </c>
      <c r="C67" s="20" t="s">
        <v>645</v>
      </c>
      <c r="D67" s="20" t="s">
        <v>23</v>
      </c>
      <c r="E67" s="20" t="s">
        <v>13</v>
      </c>
      <c r="F67" s="20">
        <v>30</v>
      </c>
      <c r="G67" s="20">
        <v>72.56</v>
      </c>
      <c r="H67" s="20" t="s">
        <v>16</v>
      </c>
      <c r="I67" s="20" t="str">
        <f>VLOOKUP(H67,Sheet4!A:B,2,)</f>
        <v>GLOSS BLACK</v>
      </c>
      <c r="J67" s="42">
        <f>16-4-4-4+8-4-4+4-2-4</f>
        <v>2</v>
      </c>
    </row>
    <row r="68" s="63" customFormat="1" ht="18" customHeight="1" spans="1:10">
      <c r="A68" s="33"/>
      <c r="B68" s="19" t="s">
        <v>679</v>
      </c>
      <c r="C68" s="20" t="s">
        <v>645</v>
      </c>
      <c r="D68" s="20" t="s">
        <v>482</v>
      </c>
      <c r="E68" s="20" t="s">
        <v>13</v>
      </c>
      <c r="F68" s="20">
        <v>38</v>
      </c>
      <c r="G68" s="20">
        <v>72.56</v>
      </c>
      <c r="H68" s="20" t="s">
        <v>16</v>
      </c>
      <c r="I68" s="20" t="str">
        <f>VLOOKUP(H68,Sheet4!A:B,2,)</f>
        <v>GLOSS BLACK</v>
      </c>
      <c r="J68" s="42">
        <f>4-2</f>
        <v>2</v>
      </c>
    </row>
    <row r="69" s="63" customFormat="1" ht="18" customHeight="1" spans="1:10">
      <c r="A69" s="33"/>
      <c r="B69" s="19" t="s">
        <v>680</v>
      </c>
      <c r="C69" s="20" t="s">
        <v>645</v>
      </c>
      <c r="D69" s="20" t="s">
        <v>23</v>
      </c>
      <c r="E69" s="20" t="s">
        <v>208</v>
      </c>
      <c r="F69" s="20">
        <v>28</v>
      </c>
      <c r="G69" s="20">
        <v>66.56</v>
      </c>
      <c r="H69" s="20" t="s">
        <v>16</v>
      </c>
      <c r="I69" s="20" t="str">
        <f>VLOOKUP(H69,Sheet4!A:B,2,)</f>
        <v>GLOSS BLACK</v>
      </c>
      <c r="J69" s="42">
        <f>16-2-4+4-4-2-4-4</f>
        <v>0</v>
      </c>
    </row>
    <row r="70" s="63" customFormat="1" ht="18" customHeight="1" spans="1:10">
      <c r="A70" s="33"/>
      <c r="B70" s="19" t="s">
        <v>681</v>
      </c>
      <c r="C70" s="20" t="s">
        <v>645</v>
      </c>
      <c r="D70" s="20" t="s">
        <v>482</v>
      </c>
      <c r="E70" s="20" t="s">
        <v>208</v>
      </c>
      <c r="F70" s="20">
        <v>38</v>
      </c>
      <c r="G70" s="20">
        <v>66.56</v>
      </c>
      <c r="H70" s="20" t="s">
        <v>16</v>
      </c>
      <c r="I70" s="20" t="str">
        <f>VLOOKUP(H70,Sheet4!A:B,2,)</f>
        <v>GLOSS BLACK</v>
      </c>
      <c r="J70" s="42">
        <f>4-2-2</f>
        <v>0</v>
      </c>
    </row>
    <row r="71" s="63" customFormat="1" ht="18" customHeight="1" spans="1:10">
      <c r="A71" s="33"/>
      <c r="B71" s="19" t="s">
        <v>682</v>
      </c>
      <c r="C71" s="20" t="s">
        <v>645</v>
      </c>
      <c r="D71" s="20" t="s">
        <v>29</v>
      </c>
      <c r="E71" s="20" t="s">
        <v>208</v>
      </c>
      <c r="F71" s="20">
        <v>25</v>
      </c>
      <c r="G71" s="20">
        <v>66.56</v>
      </c>
      <c r="H71" s="20" t="s">
        <v>67</v>
      </c>
      <c r="I71" s="20" t="str">
        <f>VLOOKUP(H71,Sheet4!A:B,2,)</f>
        <v>silver plating</v>
      </c>
      <c r="J71" s="42">
        <f>6-4+4-2+2-2-4+2+8-2+2-2+10-2-2-2+1+8-4-2</f>
        <v>15</v>
      </c>
    </row>
    <row r="72" ht="18" customHeight="1" spans="1:10">
      <c r="A72" s="33"/>
      <c r="B72" s="19" t="s">
        <v>683</v>
      </c>
      <c r="C72" s="20" t="s">
        <v>645</v>
      </c>
      <c r="D72" s="20" t="s">
        <v>225</v>
      </c>
      <c r="E72" s="20" t="s">
        <v>208</v>
      </c>
      <c r="F72" s="20">
        <v>38</v>
      </c>
      <c r="G72" s="20">
        <v>66.56</v>
      </c>
      <c r="H72" s="20" t="s">
        <v>67</v>
      </c>
      <c r="I72" s="20" t="str">
        <f>VLOOKUP(H72,Sheet4!A:B,2,)</f>
        <v>silver plating</v>
      </c>
      <c r="J72" s="42">
        <f>2-2+2-2+2-2+2+4-2+2-2-2-2+4-2</f>
        <v>2</v>
      </c>
    </row>
    <row r="73" s="63" customFormat="1" ht="18" customHeight="1" spans="1:10">
      <c r="A73" s="33"/>
      <c r="B73" s="19" t="s">
        <v>684</v>
      </c>
      <c r="C73" s="20" t="s">
        <v>645</v>
      </c>
      <c r="D73" s="20" t="s">
        <v>29</v>
      </c>
      <c r="E73" s="20" t="s">
        <v>208</v>
      </c>
      <c r="F73" s="20">
        <v>25</v>
      </c>
      <c r="G73" s="20">
        <v>66.56</v>
      </c>
      <c r="H73" s="20" t="s">
        <v>288</v>
      </c>
      <c r="I73" s="20" t="str">
        <f>VLOOKUP(H73,Sheet4!A:B,2,)</f>
        <v>matte bronze</v>
      </c>
      <c r="J73" s="42">
        <f>4-4+2-2+2-2+8-2-2+4-2-4+4-4-2</f>
        <v>0</v>
      </c>
    </row>
    <row r="74" s="63" customFormat="1" ht="18" customHeight="1" spans="1:10">
      <c r="A74" s="33"/>
      <c r="B74" s="19" t="s">
        <v>685</v>
      </c>
      <c r="C74" s="20" t="s">
        <v>645</v>
      </c>
      <c r="D74" s="20" t="s">
        <v>225</v>
      </c>
      <c r="E74" s="20" t="s">
        <v>208</v>
      </c>
      <c r="F74" s="20">
        <v>38</v>
      </c>
      <c r="G74" s="20">
        <v>66.56</v>
      </c>
      <c r="H74" s="20" t="s">
        <v>288</v>
      </c>
      <c r="I74" s="20" t="str">
        <f>VLOOKUP(H74,Sheet4!A:B,2,)</f>
        <v>matte bronze</v>
      </c>
      <c r="J74" s="42">
        <f>2-2+2-2+4-2-2+4-2-2</f>
        <v>0</v>
      </c>
    </row>
    <row r="75" s="63" customFormat="1" ht="18" customHeight="1" spans="1:10">
      <c r="A75" s="34"/>
      <c r="B75" s="23" t="s">
        <v>686</v>
      </c>
      <c r="C75" s="24" t="s">
        <v>645</v>
      </c>
      <c r="D75" s="24" t="s">
        <v>29</v>
      </c>
      <c r="E75" s="24" t="s">
        <v>40</v>
      </c>
      <c r="F75" s="24">
        <v>35</v>
      </c>
      <c r="G75" s="24">
        <v>73.1</v>
      </c>
      <c r="H75" s="24" t="s">
        <v>67</v>
      </c>
      <c r="I75" s="24" t="str">
        <f>VLOOKUP(H75,Sheet4!A:B,2,)</f>
        <v>silver plating</v>
      </c>
      <c r="J75" s="43">
        <f>4-4+4-4+4-4+4-4+4-4+4-4+4-4+8-4-4+4-4+8-4-4+8</f>
        <v>8</v>
      </c>
    </row>
    <row r="76" ht="21" customHeight="1" spans="1:10">
      <c r="A76" s="44"/>
      <c r="B76" s="19" t="s">
        <v>687</v>
      </c>
      <c r="C76" s="20" t="s">
        <v>688</v>
      </c>
      <c r="D76" s="20" t="s">
        <v>12</v>
      </c>
      <c r="E76" s="20" t="s">
        <v>13</v>
      </c>
      <c r="F76" s="20">
        <v>35</v>
      </c>
      <c r="G76" s="20">
        <v>72.56</v>
      </c>
      <c r="H76" s="20" t="s">
        <v>69</v>
      </c>
      <c r="I76" s="20" t="str">
        <f>VLOOKUP(H76,Sheet4!A:B,2,)</f>
        <v>GREY</v>
      </c>
      <c r="J76" s="42">
        <f>4-4</f>
        <v>0</v>
      </c>
    </row>
    <row r="77" ht="21" customHeight="1" spans="1:10">
      <c r="A77" s="44"/>
      <c r="B77" s="19" t="s">
        <v>689</v>
      </c>
      <c r="C77" s="20" t="s">
        <v>688</v>
      </c>
      <c r="D77" s="20" t="s">
        <v>12</v>
      </c>
      <c r="E77" s="20" t="s">
        <v>20</v>
      </c>
      <c r="F77" s="20">
        <v>38</v>
      </c>
      <c r="G77" s="20">
        <v>63.4</v>
      </c>
      <c r="H77" s="20" t="s">
        <v>102</v>
      </c>
      <c r="I77" s="20" t="str">
        <f>VLOOKUP(H77,Sheet4!A:B,2,)</f>
        <v>MATTE BLACK</v>
      </c>
      <c r="J77" s="42">
        <f>8-4-4+8-4+4-4-4+4-4</f>
        <v>0</v>
      </c>
    </row>
    <row r="78" ht="21" customHeight="1" spans="1:10">
      <c r="A78" s="44"/>
      <c r="B78" s="19" t="s">
        <v>690</v>
      </c>
      <c r="C78" s="20" t="s">
        <v>688</v>
      </c>
      <c r="D78" s="20" t="s">
        <v>12</v>
      </c>
      <c r="E78" s="20" t="s">
        <v>20</v>
      </c>
      <c r="F78" s="20">
        <v>38</v>
      </c>
      <c r="G78" s="20">
        <v>73.1</v>
      </c>
      <c r="H78" s="20" t="s">
        <v>59</v>
      </c>
      <c r="I78" s="20" t="str">
        <f>VLOOKUP(H78,Sheet4!A:B,2,)</f>
        <v>hyper black</v>
      </c>
      <c r="J78" s="42">
        <v>0</v>
      </c>
    </row>
    <row r="79" ht="21" customHeight="1" spans="1:10">
      <c r="A79" s="44"/>
      <c r="B79" s="19" t="s">
        <v>691</v>
      </c>
      <c r="C79" s="20" t="s">
        <v>688</v>
      </c>
      <c r="D79" s="20" t="s">
        <v>12</v>
      </c>
      <c r="E79" s="20" t="s">
        <v>20</v>
      </c>
      <c r="F79" s="20">
        <v>38</v>
      </c>
      <c r="G79" s="20">
        <v>73.1</v>
      </c>
      <c r="H79" s="20" t="s">
        <v>67</v>
      </c>
      <c r="I79" s="20" t="str">
        <f>VLOOKUP(H79,Sheet4!A:B,2,)</f>
        <v>silver plating</v>
      </c>
      <c r="J79" s="42">
        <f>8+4-4-4-4+4-4+4-4+8-4+4-4-4+4-4+4</f>
        <v>4</v>
      </c>
    </row>
    <row r="80" ht="21" customHeight="1" spans="1:10">
      <c r="A80" s="44"/>
      <c r="B80" s="19" t="s">
        <v>692</v>
      </c>
      <c r="C80" s="20" t="s">
        <v>688</v>
      </c>
      <c r="D80" s="20" t="s">
        <v>12</v>
      </c>
      <c r="E80" s="20" t="s">
        <v>13</v>
      </c>
      <c r="F80" s="20">
        <v>35</v>
      </c>
      <c r="G80" s="20">
        <v>72.56</v>
      </c>
      <c r="H80" s="20" t="s">
        <v>102</v>
      </c>
      <c r="I80" s="20" t="str">
        <f>VLOOKUP(H80,Sheet4!A:B,2,)</f>
        <v>MATTE BLACK</v>
      </c>
      <c r="J80" s="42">
        <f>4-4+8-4-4+4-4+4</f>
        <v>4</v>
      </c>
    </row>
    <row r="81" ht="21" customHeight="1" spans="1:10">
      <c r="A81" s="44"/>
      <c r="B81" s="19" t="s">
        <v>693</v>
      </c>
      <c r="C81" s="20" t="s">
        <v>688</v>
      </c>
      <c r="D81" s="20" t="s">
        <v>12</v>
      </c>
      <c r="E81" s="20" t="s">
        <v>208</v>
      </c>
      <c r="F81" s="20">
        <v>40</v>
      </c>
      <c r="G81" s="20">
        <v>66.6</v>
      </c>
      <c r="H81" s="20" t="s">
        <v>694</v>
      </c>
      <c r="I81" s="20" t="str">
        <f>VLOOKUP(H81,Sheet4!A:B,2,)</f>
        <v>GERY</v>
      </c>
      <c r="J81" s="42">
        <v>0</v>
      </c>
    </row>
    <row r="82" ht="21" customHeight="1" spans="1:10">
      <c r="A82" s="44"/>
      <c r="B82" s="19" t="s">
        <v>695</v>
      </c>
      <c r="C82" s="20" t="s">
        <v>688</v>
      </c>
      <c r="D82" s="20" t="s">
        <v>12</v>
      </c>
      <c r="E82" s="20" t="s">
        <v>208</v>
      </c>
      <c r="F82" s="20">
        <v>30</v>
      </c>
      <c r="G82" s="20">
        <v>66.6</v>
      </c>
      <c r="H82" s="20" t="s">
        <v>102</v>
      </c>
      <c r="I82" s="20" t="str">
        <f>VLOOKUP(H82,Sheet4!A:B,2,)</f>
        <v>MATTE BLACK</v>
      </c>
      <c r="J82" s="42">
        <f>4-4+4-4+4-4+4-4+8-4-4+4-4+4</f>
        <v>4</v>
      </c>
    </row>
    <row r="83" s="63" customFormat="1" ht="21" customHeight="1" spans="1:10">
      <c r="A83" s="44"/>
      <c r="B83" s="19" t="s">
        <v>696</v>
      </c>
      <c r="C83" s="20" t="s">
        <v>688</v>
      </c>
      <c r="D83" s="20" t="s">
        <v>12</v>
      </c>
      <c r="E83" s="20" t="s">
        <v>13</v>
      </c>
      <c r="F83" s="20">
        <v>32</v>
      </c>
      <c r="G83" s="20">
        <v>72.56</v>
      </c>
      <c r="H83" s="20" t="s">
        <v>694</v>
      </c>
      <c r="I83" s="20" t="str">
        <f>VLOOKUP(H83,Sheet4!A:B,2,)</f>
        <v>GERY</v>
      </c>
      <c r="J83" s="42">
        <v>0</v>
      </c>
    </row>
    <row r="84" s="63" customFormat="1" ht="21" customHeight="1" spans="1:10">
      <c r="A84" s="44"/>
      <c r="B84" s="19" t="s">
        <v>697</v>
      </c>
      <c r="C84" s="20" t="s">
        <v>688</v>
      </c>
      <c r="D84" s="20" t="s">
        <v>12</v>
      </c>
      <c r="E84" s="20" t="s">
        <v>40</v>
      </c>
      <c r="F84" s="20">
        <v>35</v>
      </c>
      <c r="G84" s="20">
        <v>73.1</v>
      </c>
      <c r="H84" s="20" t="s">
        <v>102</v>
      </c>
      <c r="I84" s="20" t="str">
        <f>VLOOKUP(H84,Sheet4!A:B,2,)</f>
        <v>MATTE BLACK</v>
      </c>
      <c r="J84" s="42">
        <v>4</v>
      </c>
    </row>
    <row r="85" s="63" customFormat="1" ht="21" customHeight="1" spans="1:10">
      <c r="A85" s="44"/>
      <c r="B85" s="19" t="s">
        <v>698</v>
      </c>
      <c r="C85" s="20" t="s">
        <v>688</v>
      </c>
      <c r="D85" s="20" t="s">
        <v>12</v>
      </c>
      <c r="E85" s="20" t="s">
        <v>40</v>
      </c>
      <c r="F85" s="20">
        <v>35</v>
      </c>
      <c r="G85" s="20">
        <v>73.1</v>
      </c>
      <c r="H85" s="20" t="s">
        <v>102</v>
      </c>
      <c r="I85" s="20" t="str">
        <f>VLOOKUP(H85,Sheet4!A:B,2,)</f>
        <v>MATTE BLACK</v>
      </c>
      <c r="J85" s="42">
        <v>0</v>
      </c>
    </row>
    <row r="86" s="63" customFormat="1" ht="21" customHeight="1" spans="1:10">
      <c r="A86" s="44"/>
      <c r="B86" s="19" t="s">
        <v>699</v>
      </c>
      <c r="C86" s="20" t="s">
        <v>688</v>
      </c>
      <c r="D86" s="20" t="s">
        <v>23</v>
      </c>
      <c r="E86" s="20" t="s">
        <v>208</v>
      </c>
      <c r="F86" s="20">
        <v>25</v>
      </c>
      <c r="G86" s="20">
        <v>66.5</v>
      </c>
      <c r="H86" s="20" t="s">
        <v>59</v>
      </c>
      <c r="I86" s="20" t="str">
        <f>VLOOKUP(H86,Sheet4!A:B,2,)</f>
        <v>hyper black</v>
      </c>
      <c r="J86" s="42">
        <f>4-4</f>
        <v>0</v>
      </c>
    </row>
    <row r="87" s="63" customFormat="1" ht="21" customHeight="1" spans="1:10">
      <c r="A87" s="44"/>
      <c r="B87" s="19" t="s">
        <v>700</v>
      </c>
      <c r="C87" s="20" t="s">
        <v>688</v>
      </c>
      <c r="D87" s="20" t="s">
        <v>23</v>
      </c>
      <c r="E87" s="20" t="s">
        <v>208</v>
      </c>
      <c r="F87" s="20">
        <v>25</v>
      </c>
      <c r="G87" s="20">
        <v>66.5</v>
      </c>
      <c r="H87" s="20" t="s">
        <v>102</v>
      </c>
      <c r="I87" s="20" t="str">
        <f>VLOOKUP(H87,Sheet4!A:B,2,)</f>
        <v>MATTE BLACK</v>
      </c>
      <c r="J87" s="42">
        <v>0</v>
      </c>
    </row>
    <row r="88" s="63" customFormat="1" ht="21" customHeight="1" spans="1:10">
      <c r="A88" s="44"/>
      <c r="B88" s="19" t="s">
        <v>701</v>
      </c>
      <c r="C88" s="20" t="s">
        <v>688</v>
      </c>
      <c r="D88" s="20" t="s">
        <v>23</v>
      </c>
      <c r="E88" s="20" t="s">
        <v>13</v>
      </c>
      <c r="F88" s="20">
        <v>30</v>
      </c>
      <c r="G88" s="20">
        <v>72.56</v>
      </c>
      <c r="H88" s="20" t="s">
        <v>102</v>
      </c>
      <c r="I88" s="20" t="str">
        <f>VLOOKUP(H88,Sheet4!A:B,2,)</f>
        <v>MATTE BLACK</v>
      </c>
      <c r="J88" s="42">
        <f>2+4-2-2-2</f>
        <v>0</v>
      </c>
    </row>
    <row r="89" s="63" customFormat="1" ht="21" customHeight="1" spans="1:10">
      <c r="A89" s="44"/>
      <c r="B89" s="19" t="s">
        <v>702</v>
      </c>
      <c r="C89" s="20" t="s">
        <v>688</v>
      </c>
      <c r="D89" s="20" t="s">
        <v>482</v>
      </c>
      <c r="E89" s="20" t="s">
        <v>13</v>
      </c>
      <c r="F89" s="20">
        <v>38</v>
      </c>
      <c r="G89" s="20">
        <v>72.56</v>
      </c>
      <c r="H89" s="20" t="s">
        <v>102</v>
      </c>
      <c r="I89" s="20" t="str">
        <f>VLOOKUP(H89,Sheet4!A:B,2,)</f>
        <v>MATTE BLACK</v>
      </c>
      <c r="J89" s="42">
        <f>2+4-2-2-2</f>
        <v>0</v>
      </c>
    </row>
    <row r="90" s="63" customFormat="1" ht="21" customHeight="1" spans="1:10">
      <c r="A90" s="44"/>
      <c r="B90" s="19" t="s">
        <v>703</v>
      </c>
      <c r="C90" s="20" t="s">
        <v>688</v>
      </c>
      <c r="D90" s="20" t="s">
        <v>23</v>
      </c>
      <c r="E90" s="20" t="s">
        <v>208</v>
      </c>
      <c r="F90" s="20">
        <v>28</v>
      </c>
      <c r="G90" s="20">
        <v>66.56</v>
      </c>
      <c r="H90" s="20" t="s">
        <v>102</v>
      </c>
      <c r="I90" s="20" t="str">
        <f>VLOOKUP(H90,Sheet4!A:B,2,)</f>
        <v>MATTE BLACK</v>
      </c>
      <c r="J90" s="42">
        <f>6-4-2+2-2+4-2+2+4+8-4-4-2</f>
        <v>6</v>
      </c>
    </row>
    <row r="91" s="63" customFormat="1" ht="21" customHeight="1" spans="1:10">
      <c r="A91" s="44"/>
      <c r="B91" s="19" t="s">
        <v>704</v>
      </c>
      <c r="C91" s="20" t="s">
        <v>688</v>
      </c>
      <c r="D91" s="20" t="s">
        <v>482</v>
      </c>
      <c r="E91" s="20" t="s">
        <v>208</v>
      </c>
      <c r="F91" s="20">
        <v>38</v>
      </c>
      <c r="G91" s="20">
        <v>66.56</v>
      </c>
      <c r="H91" s="20" t="s">
        <v>102</v>
      </c>
      <c r="I91" s="20" t="str">
        <f>VLOOKUP(H91,Sheet4!A:B,2,)</f>
        <v>MATTE BLACK</v>
      </c>
      <c r="J91" s="42">
        <f>2-2+2-2+4-2+2-2+4</f>
        <v>6</v>
      </c>
    </row>
    <row r="92" s="63" customFormat="1" ht="21" customHeight="1" spans="1:10">
      <c r="A92" s="44"/>
      <c r="B92" s="19" t="s">
        <v>705</v>
      </c>
      <c r="C92" s="20" t="s">
        <v>688</v>
      </c>
      <c r="D92" s="20" t="s">
        <v>23</v>
      </c>
      <c r="E92" s="20" t="s">
        <v>20</v>
      </c>
      <c r="F92" s="20">
        <v>40</v>
      </c>
      <c r="G92" s="165">
        <v>73.1</v>
      </c>
      <c r="H92" s="20" t="s">
        <v>102</v>
      </c>
      <c r="I92" s="20" t="str">
        <f>VLOOKUP(H92,Sheet4!A:B,2,)</f>
        <v>MATTE BLACK</v>
      </c>
      <c r="J92" s="42">
        <f>8-4-4+8</f>
        <v>8</v>
      </c>
    </row>
    <row r="93" s="63" customFormat="1" ht="21" customHeight="1" spans="1:10">
      <c r="A93" s="44"/>
      <c r="B93" s="19" t="s">
        <v>706</v>
      </c>
      <c r="C93" s="20" t="s">
        <v>688</v>
      </c>
      <c r="D93" s="20" t="s">
        <v>23</v>
      </c>
      <c r="E93" s="20" t="s">
        <v>13</v>
      </c>
      <c r="F93" s="20">
        <v>30</v>
      </c>
      <c r="G93" s="20">
        <v>72.56</v>
      </c>
      <c r="H93" s="20" t="s">
        <v>67</v>
      </c>
      <c r="I93" s="20" t="str">
        <f>VLOOKUP(H93,Sheet4!A:B,2,)</f>
        <v>silver plating</v>
      </c>
      <c r="J93" s="42">
        <f>4-2-2</f>
        <v>0</v>
      </c>
    </row>
    <row r="94" s="63" customFormat="1" ht="21" customHeight="1" spans="1:10">
      <c r="A94" s="44"/>
      <c r="B94" s="19" t="s">
        <v>707</v>
      </c>
      <c r="C94" s="20" t="s">
        <v>688</v>
      </c>
      <c r="D94" s="20" t="s">
        <v>482</v>
      </c>
      <c r="E94" s="20" t="s">
        <v>13</v>
      </c>
      <c r="F94" s="20">
        <v>38</v>
      </c>
      <c r="G94" s="20">
        <v>72.56</v>
      </c>
      <c r="H94" s="20" t="s">
        <v>67</v>
      </c>
      <c r="I94" s="20" t="str">
        <f>VLOOKUP(H94,Sheet4!A:B,2,)</f>
        <v>silver plating</v>
      </c>
      <c r="J94" s="42">
        <f>4-2-2</f>
        <v>0</v>
      </c>
    </row>
    <row r="95" s="63" customFormat="1" ht="21" customHeight="1" spans="1:10">
      <c r="A95" s="44"/>
      <c r="B95" s="19" t="s">
        <v>708</v>
      </c>
      <c r="C95" s="20" t="s">
        <v>688</v>
      </c>
      <c r="D95" s="20" t="s">
        <v>23</v>
      </c>
      <c r="E95" s="20" t="s">
        <v>208</v>
      </c>
      <c r="F95" s="20">
        <v>28</v>
      </c>
      <c r="G95" s="20">
        <v>66.56</v>
      </c>
      <c r="H95" s="20" t="s">
        <v>67</v>
      </c>
      <c r="I95" s="20" t="str">
        <f>VLOOKUP(H95,Sheet4!A:B,2,)</f>
        <v>silver plating</v>
      </c>
      <c r="J95" s="42">
        <f>8-4-4+12-2-4-2+2-4+4-4+8-4+4-2-2-2-4</f>
        <v>0</v>
      </c>
    </row>
    <row r="96" s="63" customFormat="1" ht="21" customHeight="1" spans="1:10">
      <c r="A96" s="44"/>
      <c r="B96" s="19" t="s">
        <v>709</v>
      </c>
      <c r="C96" s="20" t="s">
        <v>688</v>
      </c>
      <c r="D96" s="20" t="s">
        <v>482</v>
      </c>
      <c r="E96" s="20" t="s">
        <v>208</v>
      </c>
      <c r="F96" s="20">
        <v>38</v>
      </c>
      <c r="G96" s="20">
        <v>66.56</v>
      </c>
      <c r="H96" s="20" t="s">
        <v>67</v>
      </c>
      <c r="I96" s="20" t="str">
        <f>VLOOKUP(H96,Sheet4!A:B,2,)</f>
        <v>silver plating</v>
      </c>
      <c r="J96" s="42">
        <f>4-2-2+2+4-2-2-2</f>
        <v>0</v>
      </c>
    </row>
    <row r="97" s="63" customFormat="1" ht="21" customHeight="1" spans="1:10">
      <c r="A97" s="44"/>
      <c r="B97" s="19" t="s">
        <v>710</v>
      </c>
      <c r="C97" s="20" t="s">
        <v>688</v>
      </c>
      <c r="D97" s="20" t="s">
        <v>23</v>
      </c>
      <c r="E97" s="20" t="s">
        <v>40</v>
      </c>
      <c r="F97" s="20">
        <v>38</v>
      </c>
      <c r="G97" s="20">
        <v>73.1</v>
      </c>
      <c r="H97" s="20" t="s">
        <v>67</v>
      </c>
      <c r="I97" s="20" t="str">
        <f>VLOOKUP(H97,Sheet4!A:B,2,)</f>
        <v>silver plating</v>
      </c>
      <c r="J97" s="42">
        <f>4-4+4-4+8-1+1-4+3-4+4-4+5-4-4+4-4+12-4-4-4</f>
        <v>0</v>
      </c>
    </row>
    <row r="98" s="63" customFormat="1" ht="21" customHeight="1" spans="1:10">
      <c r="A98" s="44"/>
      <c r="B98" s="19" t="s">
        <v>711</v>
      </c>
      <c r="C98" s="20" t="s">
        <v>688</v>
      </c>
      <c r="D98" s="20" t="s">
        <v>23</v>
      </c>
      <c r="E98" s="20" t="s">
        <v>20</v>
      </c>
      <c r="F98" s="20">
        <v>40</v>
      </c>
      <c r="G98" s="31">
        <v>63.4</v>
      </c>
      <c r="H98" s="20" t="s">
        <v>67</v>
      </c>
      <c r="I98" s="20" t="str">
        <f>VLOOKUP(H98,Sheet4!A:B,2,)</f>
        <v>silver plating</v>
      </c>
      <c r="J98" s="42">
        <f>4-4+4-4+4-4+8-4-4+4-4+8-4-4</f>
        <v>0</v>
      </c>
    </row>
    <row r="99" s="63" customFormat="1" ht="21" customHeight="1" spans="1:10">
      <c r="A99" s="46"/>
      <c r="B99" s="23" t="s">
        <v>712</v>
      </c>
      <c r="C99" s="24" t="s">
        <v>688</v>
      </c>
      <c r="D99" s="24" t="s">
        <v>23</v>
      </c>
      <c r="E99" s="24" t="s">
        <v>40</v>
      </c>
      <c r="F99" s="24">
        <v>38</v>
      </c>
      <c r="G99" s="24">
        <v>73.1</v>
      </c>
      <c r="H99" s="24" t="s">
        <v>159</v>
      </c>
      <c r="I99" s="24" t="str">
        <f>VLOOKUP(H99,Sheet4!A:B,2,)</f>
        <v>MATTE BLACK</v>
      </c>
      <c r="J99" s="43">
        <f>8-4-4+4-4+4-4+8-4</f>
        <v>4</v>
      </c>
    </row>
    <row r="100" s="63" customFormat="1" ht="28" customHeight="1" spans="1:10">
      <c r="A100" s="44"/>
      <c r="B100" s="19" t="s">
        <v>713</v>
      </c>
      <c r="C100" s="20" t="s">
        <v>688</v>
      </c>
      <c r="D100" s="20" t="s">
        <v>12</v>
      </c>
      <c r="E100" s="20" t="s">
        <v>20</v>
      </c>
      <c r="F100" s="20">
        <v>38</v>
      </c>
      <c r="G100" s="20">
        <v>63.4</v>
      </c>
      <c r="H100" s="20" t="s">
        <v>159</v>
      </c>
      <c r="I100" s="20" t="str">
        <f>VLOOKUP(H100,Sheet4!A:B,2,)</f>
        <v>MATTE BLACK</v>
      </c>
      <c r="J100" s="42">
        <f>4+4-4+8-4-4-4</f>
        <v>0</v>
      </c>
    </row>
    <row r="101" s="63" customFormat="1" ht="28" customHeight="1" spans="1:10">
      <c r="A101" s="44"/>
      <c r="B101" s="19" t="s">
        <v>714</v>
      </c>
      <c r="C101" s="20" t="s">
        <v>688</v>
      </c>
      <c r="D101" s="20" t="s">
        <v>12</v>
      </c>
      <c r="E101" s="20" t="s">
        <v>20</v>
      </c>
      <c r="F101" s="20">
        <v>38</v>
      </c>
      <c r="G101" s="20">
        <v>73.1</v>
      </c>
      <c r="H101" s="20" t="s">
        <v>288</v>
      </c>
      <c r="I101" s="20" t="str">
        <f>VLOOKUP(H101,Sheet4!A:B,2,)</f>
        <v>matte bronze</v>
      </c>
      <c r="J101" s="21">
        <f>4+4-4</f>
        <v>4</v>
      </c>
    </row>
    <row r="102" s="63" customFormat="1" ht="28" customHeight="1" spans="1:10">
      <c r="A102" s="44"/>
      <c r="B102" s="19" t="s">
        <v>715</v>
      </c>
      <c r="C102" s="20" t="s">
        <v>688</v>
      </c>
      <c r="D102" s="20" t="s">
        <v>12</v>
      </c>
      <c r="E102" s="20" t="s">
        <v>40</v>
      </c>
      <c r="F102" s="20">
        <v>35</v>
      </c>
      <c r="G102" s="20">
        <v>73.1</v>
      </c>
      <c r="H102" s="20" t="s">
        <v>102</v>
      </c>
      <c r="I102" s="20" t="str">
        <f>VLOOKUP(H102,Sheet4!A:B,2,)</f>
        <v>MATTE BLACK</v>
      </c>
      <c r="J102" s="42">
        <f>4-4+4-4+8-4-4+4-4+4-4</f>
        <v>0</v>
      </c>
    </row>
    <row r="103" s="63" customFormat="1" ht="28" customHeight="1" spans="1:10">
      <c r="A103" s="44"/>
      <c r="B103" s="19" t="s">
        <v>716</v>
      </c>
      <c r="C103" s="19" t="s">
        <v>688</v>
      </c>
      <c r="D103" s="19" t="s">
        <v>12</v>
      </c>
      <c r="E103" s="19" t="s">
        <v>208</v>
      </c>
      <c r="F103" s="19">
        <v>30</v>
      </c>
      <c r="G103" s="19">
        <v>66.56</v>
      </c>
      <c r="H103" s="19" t="s">
        <v>102</v>
      </c>
      <c r="I103" s="19" t="str">
        <f>VLOOKUP(H103,Sheet4!A:B,2,)</f>
        <v>MATTE BLACK</v>
      </c>
      <c r="J103" s="166">
        <v>4</v>
      </c>
    </row>
    <row r="104" s="63" customFormat="1" ht="28" customHeight="1" spans="1:10">
      <c r="A104" s="44"/>
      <c r="B104" s="19" t="s">
        <v>717</v>
      </c>
      <c r="C104" s="20" t="s">
        <v>688</v>
      </c>
      <c r="D104" s="20" t="s">
        <v>12</v>
      </c>
      <c r="E104" s="20" t="s">
        <v>208</v>
      </c>
      <c r="F104" s="20">
        <v>30</v>
      </c>
      <c r="G104" s="20">
        <v>66.56</v>
      </c>
      <c r="H104" s="20" t="s">
        <v>718</v>
      </c>
      <c r="I104" s="20" t="str">
        <f>VLOOKUP(H104,Sheet4!A:B,2,)</f>
        <v>hyper silver</v>
      </c>
      <c r="J104" s="166">
        <f>4-4</f>
        <v>0</v>
      </c>
    </row>
    <row r="105" s="63" customFormat="1" ht="28" customHeight="1" spans="1:10">
      <c r="A105" s="44"/>
      <c r="B105" s="19" t="s">
        <v>719</v>
      </c>
      <c r="C105" s="20" t="s">
        <v>688</v>
      </c>
      <c r="D105" s="20" t="s">
        <v>12</v>
      </c>
      <c r="E105" s="19" t="s">
        <v>208</v>
      </c>
      <c r="F105" s="20">
        <v>30</v>
      </c>
      <c r="G105" s="20">
        <v>66.56</v>
      </c>
      <c r="H105" s="20" t="s">
        <v>67</v>
      </c>
      <c r="I105" s="20" t="str">
        <f>VLOOKUP(H105,Sheet4!A:B,2,)</f>
        <v>silver plating</v>
      </c>
      <c r="J105" s="42">
        <f>8-4-4+4-4+4-4+12-4-4-4</f>
        <v>0</v>
      </c>
    </row>
    <row r="106" s="63" customFormat="1" ht="28" customHeight="1" spans="1:10">
      <c r="A106" s="44"/>
      <c r="B106" s="19" t="s">
        <v>720</v>
      </c>
      <c r="C106" s="20" t="s">
        <v>688</v>
      </c>
      <c r="D106" s="20" t="s">
        <v>12</v>
      </c>
      <c r="E106" s="20" t="s">
        <v>13</v>
      </c>
      <c r="F106" s="20">
        <v>30</v>
      </c>
      <c r="G106" s="20">
        <v>72.56</v>
      </c>
      <c r="H106" s="20" t="s">
        <v>67</v>
      </c>
      <c r="I106" s="20" t="str">
        <f>VLOOKUP(H106,Sheet4!A:B,2,)</f>
        <v>silver plating</v>
      </c>
      <c r="J106" s="42">
        <f>7+1-4</f>
        <v>4</v>
      </c>
    </row>
    <row r="107" s="63" customFormat="1" ht="28" customHeight="1" spans="1:10">
      <c r="A107" s="44"/>
      <c r="B107" s="19" t="s">
        <v>721</v>
      </c>
      <c r="C107" s="20" t="s">
        <v>688</v>
      </c>
      <c r="D107" s="20" t="s">
        <v>12</v>
      </c>
      <c r="E107" s="20" t="s">
        <v>13</v>
      </c>
      <c r="F107" s="20">
        <v>30</v>
      </c>
      <c r="G107" s="20">
        <v>72.56</v>
      </c>
      <c r="H107" s="20" t="s">
        <v>102</v>
      </c>
      <c r="I107" s="20" t="str">
        <f>VLOOKUP(H107,Sheet4!A:B,2,)</f>
        <v>MATTE BLACK</v>
      </c>
      <c r="J107" s="42">
        <f>4-4+4-4+8-4-4+4-4+8</f>
        <v>8</v>
      </c>
    </row>
    <row r="108" s="63" customFormat="1" ht="28" customHeight="1" spans="1:10">
      <c r="A108" s="44"/>
      <c r="B108" s="19" t="s">
        <v>722</v>
      </c>
      <c r="C108" s="20" t="s">
        <v>688</v>
      </c>
      <c r="D108" s="20" t="s">
        <v>23</v>
      </c>
      <c r="E108" s="20" t="s">
        <v>20</v>
      </c>
      <c r="F108" s="20">
        <v>40</v>
      </c>
      <c r="G108" s="20">
        <v>73.1</v>
      </c>
      <c r="H108" s="20" t="s">
        <v>102</v>
      </c>
      <c r="I108" s="20" t="str">
        <f>VLOOKUP(H108,Sheet4!A:B,2,)</f>
        <v>MATTE BLACK</v>
      </c>
      <c r="J108" s="42">
        <f>8-4-4+8</f>
        <v>8</v>
      </c>
    </row>
    <row r="109" s="63" customFormat="1" ht="28" customHeight="1" spans="1:10">
      <c r="A109" s="44"/>
      <c r="B109" s="19" t="s">
        <v>723</v>
      </c>
      <c r="C109" s="20" t="s">
        <v>688</v>
      </c>
      <c r="D109" s="20" t="s">
        <v>23</v>
      </c>
      <c r="E109" s="20" t="s">
        <v>13</v>
      </c>
      <c r="F109" s="20">
        <v>30</v>
      </c>
      <c r="G109" s="20">
        <v>72.56</v>
      </c>
      <c r="H109" s="20" t="s">
        <v>102</v>
      </c>
      <c r="I109" s="20" t="str">
        <f>VLOOKUP(H109,Sheet4!A:B,2,)</f>
        <v>MATTE BLACK</v>
      </c>
      <c r="J109" s="42">
        <f>6-2-2+4-4+4-2+2-2-4+10-4-2+2+1-1-2+4-4+2</f>
        <v>6</v>
      </c>
    </row>
    <row r="110" s="63" customFormat="1" ht="28" customHeight="1" spans="1:10">
      <c r="A110" s="44"/>
      <c r="B110" s="19" t="s">
        <v>724</v>
      </c>
      <c r="C110" s="20" t="s">
        <v>688</v>
      </c>
      <c r="D110" s="20" t="s">
        <v>482</v>
      </c>
      <c r="E110" s="20" t="s">
        <v>13</v>
      </c>
      <c r="F110" s="20">
        <v>38</v>
      </c>
      <c r="G110" s="20">
        <v>72.56</v>
      </c>
      <c r="H110" s="20" t="s">
        <v>102</v>
      </c>
      <c r="I110" s="20" t="str">
        <f>VLOOKUP(H110,Sheet4!A:B,2,)</f>
        <v>MATTE BLACK</v>
      </c>
      <c r="J110" s="42">
        <f>6-2-2-2+2-2+2-2+2-2+4+2</f>
        <v>6</v>
      </c>
    </row>
    <row r="111" s="63" customFormat="1" ht="28" customHeight="1" spans="1:10">
      <c r="A111" s="44"/>
      <c r="B111" s="19" t="s">
        <v>725</v>
      </c>
      <c r="C111" s="20" t="s">
        <v>688</v>
      </c>
      <c r="D111" s="20" t="s">
        <v>23</v>
      </c>
      <c r="E111" s="20" t="s">
        <v>208</v>
      </c>
      <c r="F111" s="20">
        <v>28</v>
      </c>
      <c r="G111" s="20">
        <v>66.56</v>
      </c>
      <c r="H111" s="20" t="s">
        <v>67</v>
      </c>
      <c r="I111" s="20" t="str">
        <f>VLOOKUP(H111,Sheet4!A:B,2,)</f>
        <v>silver plating</v>
      </c>
      <c r="J111" s="42">
        <f>8-2-2-4+8-2-2-4+2+8-2-4+4-4-4</f>
        <v>0</v>
      </c>
    </row>
    <row r="112" s="63" customFormat="1" ht="28" customHeight="1" spans="1:10">
      <c r="A112" s="44"/>
      <c r="B112" s="19" t="s">
        <v>726</v>
      </c>
      <c r="C112" s="20" t="s">
        <v>688</v>
      </c>
      <c r="D112" s="20" t="s">
        <v>482</v>
      </c>
      <c r="E112" s="20" t="s">
        <v>208</v>
      </c>
      <c r="F112" s="20">
        <v>38</v>
      </c>
      <c r="G112" s="20">
        <v>66.56</v>
      </c>
      <c r="H112" s="20" t="s">
        <v>67</v>
      </c>
      <c r="I112" s="20" t="str">
        <f>VLOOKUP(H112,Sheet4!A:B,2,)</f>
        <v>silver plating</v>
      </c>
      <c r="J112" s="42">
        <f>4-2+4-2-2-2</f>
        <v>0</v>
      </c>
    </row>
    <row r="113" s="63" customFormat="1" ht="28" customHeight="1" spans="1:10">
      <c r="A113" s="44"/>
      <c r="B113" s="19" t="s">
        <v>727</v>
      </c>
      <c r="C113" s="20" t="s">
        <v>688</v>
      </c>
      <c r="D113" s="20" t="s">
        <v>23</v>
      </c>
      <c r="E113" s="20" t="s">
        <v>13</v>
      </c>
      <c r="F113" s="20">
        <v>30</v>
      </c>
      <c r="G113" s="20">
        <v>72.56</v>
      </c>
      <c r="H113" s="20" t="s">
        <v>67</v>
      </c>
      <c r="I113" s="20" t="str">
        <f>VLOOKUP(H113,Sheet4!A:B,2,)</f>
        <v>silver plating</v>
      </c>
      <c r="J113" s="42">
        <f>2-2+2-2+2-2+2+12-2-2-4-2+6-4+4+2-4-2-2+8-4+12-4-4</f>
        <v>12</v>
      </c>
    </row>
    <row r="114" s="63" customFormat="1" ht="28" customHeight="1" spans="1:10">
      <c r="A114" s="44"/>
      <c r="B114" s="19" t="s">
        <v>727</v>
      </c>
      <c r="C114" s="20" t="s">
        <v>688</v>
      </c>
      <c r="D114" s="20" t="s">
        <v>482</v>
      </c>
      <c r="E114" s="20" t="s">
        <v>13</v>
      </c>
      <c r="F114" s="20">
        <v>38</v>
      </c>
      <c r="G114" s="20">
        <v>72.56</v>
      </c>
      <c r="H114" s="20" t="s">
        <v>67</v>
      </c>
      <c r="I114" s="20" t="str">
        <f>VLOOKUP(H114,Sheet4!A:B,2,)</f>
        <v>silver plating</v>
      </c>
      <c r="J114" s="42">
        <f>2-2+2-2+2-2+2-2+4-2-2+2+2-2-2+4</f>
        <v>4</v>
      </c>
    </row>
    <row r="115" s="63" customFormat="1" ht="28" customHeight="1" spans="1:10">
      <c r="A115" s="44"/>
      <c r="B115" s="19" t="s">
        <v>728</v>
      </c>
      <c r="C115" s="20" t="s">
        <v>688</v>
      </c>
      <c r="D115" s="20" t="s">
        <v>23</v>
      </c>
      <c r="E115" s="20" t="s">
        <v>208</v>
      </c>
      <c r="F115" s="20">
        <v>28</v>
      </c>
      <c r="G115" s="20">
        <v>66.56</v>
      </c>
      <c r="H115" s="20" t="s">
        <v>102</v>
      </c>
      <c r="I115" s="20" t="str">
        <f>VLOOKUP(H115,Sheet4!A:B,2,)</f>
        <v>MATTE BLACK</v>
      </c>
      <c r="J115" s="42">
        <f>8-4-4+2-2+8-2-4-2+8-2-2+2+8-2+2-2+4</f>
        <v>16</v>
      </c>
    </row>
    <row r="116" s="63" customFormat="1" ht="28" customHeight="1" spans="1:10">
      <c r="A116" s="44"/>
      <c r="B116" s="19" t="s">
        <v>729</v>
      </c>
      <c r="C116" s="20" t="s">
        <v>688</v>
      </c>
      <c r="D116" s="20" t="s">
        <v>482</v>
      </c>
      <c r="E116" s="20" t="s">
        <v>208</v>
      </c>
      <c r="F116" s="20">
        <v>38</v>
      </c>
      <c r="G116" s="20">
        <v>66.56</v>
      </c>
      <c r="H116" s="20" t="s">
        <v>102</v>
      </c>
      <c r="I116" s="20" t="str">
        <f>VLOOKUP(H116,Sheet4!A:B,2,)</f>
        <v>MATTE BLACK</v>
      </c>
      <c r="J116" s="42">
        <f>3-2+4-2-2+4-1-2-2+2+1-2+2-2+4</f>
        <v>5</v>
      </c>
    </row>
    <row r="117" s="63" customFormat="1" ht="28" customHeight="1" spans="1:10">
      <c r="A117" s="44"/>
      <c r="B117" s="19" t="s">
        <v>730</v>
      </c>
      <c r="C117" s="20" t="s">
        <v>688</v>
      </c>
      <c r="D117" s="20" t="s">
        <v>23</v>
      </c>
      <c r="E117" s="20" t="s">
        <v>40</v>
      </c>
      <c r="F117" s="20">
        <v>38</v>
      </c>
      <c r="G117" s="20">
        <v>73.1</v>
      </c>
      <c r="H117" s="20" t="s">
        <v>102</v>
      </c>
      <c r="I117" s="20" t="str">
        <f>VLOOKUP(H117,Sheet4!A:B,2,)</f>
        <v>MATTE BLACK</v>
      </c>
      <c r="J117" s="21">
        <f>4-4+4-4+8-4-4</f>
        <v>0</v>
      </c>
    </row>
    <row r="118" s="63" customFormat="1" ht="28" customHeight="1" spans="1:10">
      <c r="A118" s="46"/>
      <c r="B118" s="23" t="s">
        <v>731</v>
      </c>
      <c r="C118" s="24" t="s">
        <v>688</v>
      </c>
      <c r="D118" s="24" t="s">
        <v>29</v>
      </c>
      <c r="E118" s="24" t="s">
        <v>40</v>
      </c>
      <c r="F118" s="24">
        <v>35</v>
      </c>
      <c r="G118" s="24">
        <v>73.1</v>
      </c>
      <c r="H118" s="24" t="s">
        <v>102</v>
      </c>
      <c r="I118" s="24" t="str">
        <f>VLOOKUP(H118,Sheet4!A:B,2,)</f>
        <v>MATTE BLACK</v>
      </c>
      <c r="J118" s="25">
        <f>4-4+4+4-4-4</f>
        <v>0</v>
      </c>
    </row>
    <row r="119" s="63" customFormat="1" ht="20" customHeight="1" spans="1:10">
      <c r="A119" s="44"/>
      <c r="B119" s="19" t="s">
        <v>732</v>
      </c>
      <c r="C119" s="20" t="s">
        <v>645</v>
      </c>
      <c r="D119" s="20" t="s">
        <v>12</v>
      </c>
      <c r="E119" s="20" t="s">
        <v>20</v>
      </c>
      <c r="F119" s="20">
        <v>38</v>
      </c>
      <c r="G119" s="20">
        <v>63.4</v>
      </c>
      <c r="H119" s="20" t="s">
        <v>102</v>
      </c>
      <c r="I119" s="20" t="str">
        <f>VLOOKUP(H119,Sheet4!A:B,2,)</f>
        <v>MATTE BLACK</v>
      </c>
      <c r="J119" s="42">
        <f>12-4-4+8-4-4-4+4+4-4-4+4</f>
        <v>4</v>
      </c>
    </row>
    <row r="120" ht="20" customHeight="1" spans="1:10">
      <c r="A120" s="44"/>
      <c r="B120" s="19" t="s">
        <v>733</v>
      </c>
      <c r="C120" s="20" t="s">
        <v>645</v>
      </c>
      <c r="D120" s="20" t="s">
        <v>12</v>
      </c>
      <c r="E120" s="20" t="s">
        <v>40</v>
      </c>
      <c r="F120" s="20">
        <v>35</v>
      </c>
      <c r="G120" s="20">
        <v>73.1</v>
      </c>
      <c r="H120" s="20" t="s">
        <v>102</v>
      </c>
      <c r="I120" s="20" t="str">
        <f>VLOOKUP(H120,Sheet4!A:B,2,)</f>
        <v>MATTE BLACK</v>
      </c>
      <c r="J120" s="42">
        <f>4-4+12-4+8-4-4-4-4</f>
        <v>0</v>
      </c>
    </row>
    <row r="121" ht="20" customHeight="1" spans="1:10">
      <c r="A121" s="44"/>
      <c r="B121" s="19" t="s">
        <v>734</v>
      </c>
      <c r="C121" s="20" t="s">
        <v>645</v>
      </c>
      <c r="D121" s="20" t="s">
        <v>12</v>
      </c>
      <c r="E121" s="20" t="s">
        <v>208</v>
      </c>
      <c r="F121" s="20">
        <v>30</v>
      </c>
      <c r="G121" s="20">
        <v>66.56</v>
      </c>
      <c r="H121" s="20" t="s">
        <v>102</v>
      </c>
      <c r="I121" s="20" t="str">
        <f>VLOOKUP(H121,Sheet4!A:B,2,)</f>
        <v>MATTE BLACK</v>
      </c>
      <c r="J121" s="42">
        <f>4+4-4+4-4-4</f>
        <v>0</v>
      </c>
    </row>
    <row r="122" ht="20" customHeight="1" spans="1:10">
      <c r="A122" s="44"/>
      <c r="B122" s="19" t="s">
        <v>735</v>
      </c>
      <c r="C122" s="20" t="s">
        <v>645</v>
      </c>
      <c r="D122" s="20" t="s">
        <v>12</v>
      </c>
      <c r="E122" s="20" t="s">
        <v>13</v>
      </c>
      <c r="F122" s="20">
        <v>35</v>
      </c>
      <c r="G122" s="20">
        <v>72.56</v>
      </c>
      <c r="H122" s="20" t="s">
        <v>102</v>
      </c>
      <c r="I122" s="20" t="str">
        <f>VLOOKUP(H122,Sheet4!A:B,2,)</f>
        <v>MATTE BLACK</v>
      </c>
      <c r="J122" s="42">
        <f>12-4-4+4-4-1+1-4+12-4</f>
        <v>8</v>
      </c>
    </row>
    <row r="123" s="63" customFormat="1" ht="20" customHeight="1" spans="1:10">
      <c r="A123" s="44"/>
      <c r="B123" s="19" t="s">
        <v>736</v>
      </c>
      <c r="C123" s="20" t="s">
        <v>645</v>
      </c>
      <c r="D123" s="19" t="s">
        <v>12</v>
      </c>
      <c r="E123" s="20" t="s">
        <v>208</v>
      </c>
      <c r="F123" s="20">
        <v>30</v>
      </c>
      <c r="G123" s="20">
        <v>66.56</v>
      </c>
      <c r="H123" s="20" t="s">
        <v>67</v>
      </c>
      <c r="I123" s="20" t="str">
        <f>VLOOKUP(H123,Sheet4!A:B,2,)</f>
        <v>silver plating</v>
      </c>
      <c r="J123" s="42">
        <f>8-4-4+8-4-4+4-1+1-4+8-4-4+4-4</f>
        <v>0</v>
      </c>
    </row>
    <row r="124" s="63" customFormat="1" ht="20" customHeight="1" spans="1:10">
      <c r="A124" s="44"/>
      <c r="B124" s="19" t="s">
        <v>737</v>
      </c>
      <c r="C124" s="20" t="s">
        <v>645</v>
      </c>
      <c r="D124" s="19" t="s">
        <v>12</v>
      </c>
      <c r="E124" s="20" t="s">
        <v>13</v>
      </c>
      <c r="F124" s="20">
        <v>35</v>
      </c>
      <c r="G124" s="20">
        <v>72.56</v>
      </c>
      <c r="H124" s="20" t="s">
        <v>67</v>
      </c>
      <c r="I124" s="20" t="str">
        <f>VLOOKUP(H124,Sheet4!A:B,2,)</f>
        <v>silver plating</v>
      </c>
      <c r="J124" s="42">
        <f>4+4-1-4+1-4+4+4-4-4+8-4-4</f>
        <v>0</v>
      </c>
    </row>
    <row r="125" s="63" customFormat="1" ht="20" customHeight="1" spans="1:10">
      <c r="A125" s="44"/>
      <c r="B125" s="19" t="s">
        <v>738</v>
      </c>
      <c r="C125" s="20" t="s">
        <v>645</v>
      </c>
      <c r="D125" s="19" t="s">
        <v>12</v>
      </c>
      <c r="E125" s="20" t="s">
        <v>20</v>
      </c>
      <c r="F125" s="20">
        <v>38</v>
      </c>
      <c r="G125" s="20">
        <v>63.4</v>
      </c>
      <c r="H125" s="20" t="s">
        <v>67</v>
      </c>
      <c r="I125" s="20" t="str">
        <f>VLOOKUP(H125,Sheet4!A:B,2,)</f>
        <v>silver plating</v>
      </c>
      <c r="J125" s="42">
        <f>8-4+4-4+4-4-4+12-4-4</f>
        <v>4</v>
      </c>
    </row>
    <row r="126" ht="20" customHeight="1" spans="1:10">
      <c r="A126" s="44"/>
      <c r="B126" s="19" t="s">
        <v>739</v>
      </c>
      <c r="C126" s="20" t="s">
        <v>645</v>
      </c>
      <c r="D126" s="20" t="s">
        <v>23</v>
      </c>
      <c r="E126" s="20" t="s">
        <v>13</v>
      </c>
      <c r="F126" s="20">
        <v>30</v>
      </c>
      <c r="G126" s="20">
        <v>72.56</v>
      </c>
      <c r="H126" s="20" t="s">
        <v>102</v>
      </c>
      <c r="I126" s="20" t="str">
        <f>VLOOKUP(H126,Sheet4!A:B,2,)</f>
        <v>MATTE BLACK</v>
      </c>
      <c r="J126" s="42">
        <f>8-4-4+4+8-4-2-4+4-4+4-4-2</f>
        <v>0</v>
      </c>
    </row>
    <row r="127" ht="20" customHeight="1" spans="1:10">
      <c r="A127" s="44"/>
      <c r="B127" s="19" t="s">
        <v>740</v>
      </c>
      <c r="C127" s="20" t="s">
        <v>645</v>
      </c>
      <c r="D127" s="20" t="s">
        <v>482</v>
      </c>
      <c r="E127" s="20" t="s">
        <v>13</v>
      </c>
      <c r="F127" s="20">
        <v>38</v>
      </c>
      <c r="G127" s="20">
        <v>72.56</v>
      </c>
      <c r="H127" s="20" t="s">
        <v>102</v>
      </c>
      <c r="I127" s="20" t="str">
        <f>VLOOKUP(H127,Sheet4!A:B,2,)</f>
        <v>MATTE BLACK</v>
      </c>
      <c r="J127" s="42">
        <f>4-2-2</f>
        <v>0</v>
      </c>
    </row>
    <row r="128" s="63" customFormat="1" ht="20" customHeight="1" spans="1:10">
      <c r="A128" s="44"/>
      <c r="B128" s="19" t="s">
        <v>741</v>
      </c>
      <c r="C128" s="20" t="s">
        <v>645</v>
      </c>
      <c r="D128" s="20" t="s">
        <v>23</v>
      </c>
      <c r="E128" s="20" t="s">
        <v>208</v>
      </c>
      <c r="F128" s="20">
        <v>28</v>
      </c>
      <c r="G128" s="20">
        <v>66.56</v>
      </c>
      <c r="H128" s="20" t="s">
        <v>102</v>
      </c>
      <c r="I128" s="20" t="str">
        <f>VLOOKUP(H128,Sheet4!A:B,2,)</f>
        <v>MATTE BLACK</v>
      </c>
      <c r="J128" s="42">
        <v>0</v>
      </c>
    </row>
    <row r="129" s="63" customFormat="1" ht="20" customHeight="1" spans="1:10">
      <c r="A129" s="44"/>
      <c r="B129" s="19" t="s">
        <v>742</v>
      </c>
      <c r="C129" s="20" t="s">
        <v>645</v>
      </c>
      <c r="D129" s="20" t="s">
        <v>482</v>
      </c>
      <c r="E129" s="20" t="s">
        <v>208</v>
      </c>
      <c r="F129" s="20">
        <v>38</v>
      </c>
      <c r="G129" s="20">
        <v>66.56</v>
      </c>
      <c r="H129" s="20" t="s">
        <v>102</v>
      </c>
      <c r="I129" s="20" t="str">
        <f>VLOOKUP(H129,Sheet4!A:B,2,)</f>
        <v>MATTE BLACK</v>
      </c>
      <c r="J129" s="42">
        <v>0</v>
      </c>
    </row>
    <row r="130" s="63" customFormat="1" ht="20" customHeight="1" spans="1:10">
      <c r="A130" s="44"/>
      <c r="B130" s="19" t="s">
        <v>743</v>
      </c>
      <c r="C130" s="20" t="s">
        <v>645</v>
      </c>
      <c r="D130" s="20" t="s">
        <v>23</v>
      </c>
      <c r="E130" s="20" t="s">
        <v>208</v>
      </c>
      <c r="F130" s="20">
        <v>28</v>
      </c>
      <c r="G130" s="20">
        <v>66.56</v>
      </c>
      <c r="H130" s="20" t="s">
        <v>16</v>
      </c>
      <c r="I130" s="20" t="str">
        <f>VLOOKUP(H130,Sheet4!A:B,2,)</f>
        <v>GLOSS BLACK</v>
      </c>
      <c r="J130" s="42">
        <f>4-2+2-2+2-4+2-2+6-4-2+2-2+4-4+8-4+4-2-4+4-2-4</f>
        <v>0</v>
      </c>
    </row>
    <row r="131" s="63" customFormat="1" ht="20" customHeight="1" spans="1:10">
      <c r="A131" s="44"/>
      <c r="B131" s="19" t="s">
        <v>744</v>
      </c>
      <c r="C131" s="20" t="s">
        <v>645</v>
      </c>
      <c r="D131" s="20" t="s">
        <v>482</v>
      </c>
      <c r="E131" s="20" t="s">
        <v>208</v>
      </c>
      <c r="F131" s="20">
        <v>38</v>
      </c>
      <c r="G131" s="20">
        <v>66.56</v>
      </c>
      <c r="H131" s="20" t="s">
        <v>16</v>
      </c>
      <c r="I131" s="20" t="str">
        <f>VLOOKUP(H131,Sheet4!A:B,2,)</f>
        <v>GLOSS BLACK</v>
      </c>
      <c r="J131" s="42">
        <f>4-2+2-2+2-2-2+2-2+4-2-2</f>
        <v>0</v>
      </c>
    </row>
    <row r="132" s="63" customFormat="1" ht="20" customHeight="1" spans="1:10">
      <c r="A132" s="44"/>
      <c r="B132" s="19" t="s">
        <v>745</v>
      </c>
      <c r="C132" s="20" t="s">
        <v>645</v>
      </c>
      <c r="D132" s="20" t="s">
        <v>23</v>
      </c>
      <c r="E132" s="20" t="s">
        <v>40</v>
      </c>
      <c r="F132" s="20">
        <v>38</v>
      </c>
      <c r="G132" s="20">
        <v>73.1</v>
      </c>
      <c r="H132" s="20" t="s">
        <v>102</v>
      </c>
      <c r="I132" s="20" t="str">
        <f>VLOOKUP(H132,Sheet4!A:B,2,)</f>
        <v>MATTE BLACK</v>
      </c>
      <c r="J132" s="42">
        <f>4-4+8-4-4+8-4-4+8-4-4+4-4+4-4</f>
        <v>0</v>
      </c>
    </row>
    <row r="133" s="63" customFormat="1" ht="20" customHeight="1" spans="1:10">
      <c r="A133" s="44"/>
      <c r="B133" s="19" t="s">
        <v>746</v>
      </c>
      <c r="C133" s="20" t="s">
        <v>645</v>
      </c>
      <c r="D133" s="20" t="s">
        <v>23</v>
      </c>
      <c r="E133" s="20" t="s">
        <v>20</v>
      </c>
      <c r="F133" s="20">
        <v>40</v>
      </c>
      <c r="G133" s="20">
        <v>63.4</v>
      </c>
      <c r="H133" s="20" t="s">
        <v>102</v>
      </c>
      <c r="I133" s="20" t="str">
        <f>VLOOKUP(H133,Sheet4!A:B,2,)</f>
        <v>MATTE BLACK</v>
      </c>
      <c r="J133" s="42">
        <v>0</v>
      </c>
    </row>
    <row r="134" s="63" customFormat="1" ht="20" customHeight="1" spans="1:10">
      <c r="A134" s="44"/>
      <c r="B134" s="19" t="s">
        <v>747</v>
      </c>
      <c r="C134" s="20" t="s">
        <v>645</v>
      </c>
      <c r="D134" s="20" t="s">
        <v>23</v>
      </c>
      <c r="E134" s="20" t="s">
        <v>20</v>
      </c>
      <c r="F134" s="20">
        <v>40</v>
      </c>
      <c r="G134" s="20">
        <v>73.1</v>
      </c>
      <c r="H134" s="20" t="s">
        <v>16</v>
      </c>
      <c r="I134" s="20" t="str">
        <f>VLOOKUP(H134,Sheet4!A:B,2,)</f>
        <v>GLOSS BLACK</v>
      </c>
      <c r="J134" s="42">
        <f>8+4-4-4-4+8-4-4+8-4+4-4-4+12-4-4-4</f>
        <v>0</v>
      </c>
    </row>
    <row r="135" s="63" customFormat="1" ht="20" customHeight="1" spans="1:10">
      <c r="A135" s="44"/>
      <c r="B135" s="19" t="s">
        <v>748</v>
      </c>
      <c r="C135" s="20" t="s">
        <v>645</v>
      </c>
      <c r="D135" s="20" t="s">
        <v>23</v>
      </c>
      <c r="E135" s="20" t="s">
        <v>13</v>
      </c>
      <c r="F135" s="20">
        <v>30</v>
      </c>
      <c r="G135" s="20">
        <v>72.56</v>
      </c>
      <c r="H135" s="20" t="s">
        <v>288</v>
      </c>
      <c r="I135" s="20" t="str">
        <f>VLOOKUP(H135,Sheet4!A:B,2,)</f>
        <v>matte bronze</v>
      </c>
      <c r="J135" s="42">
        <f>12-4-4-4+8</f>
        <v>8</v>
      </c>
    </row>
    <row r="136" s="63" customFormat="1" ht="20" customHeight="1" spans="1:10">
      <c r="A136" s="44"/>
      <c r="B136" s="19" t="s">
        <v>749</v>
      </c>
      <c r="C136" s="20" t="s">
        <v>645</v>
      </c>
      <c r="D136" s="20" t="s">
        <v>482</v>
      </c>
      <c r="E136" s="20" t="s">
        <v>13</v>
      </c>
      <c r="F136" s="20">
        <v>38</v>
      </c>
      <c r="G136" s="20">
        <v>72.56</v>
      </c>
      <c r="H136" s="20" t="s">
        <v>288</v>
      </c>
      <c r="I136" s="20" t="str">
        <f>VLOOKUP(H136,Sheet4!A:B,2,)</f>
        <v>matte bronze</v>
      </c>
      <c r="J136" s="42">
        <v>4</v>
      </c>
    </row>
    <row r="137" s="63" customFormat="1" ht="20" customHeight="1" spans="1:10">
      <c r="A137" s="44"/>
      <c r="B137" s="19" t="s">
        <v>750</v>
      </c>
      <c r="C137" s="20" t="s">
        <v>645</v>
      </c>
      <c r="D137" s="20" t="s">
        <v>23</v>
      </c>
      <c r="E137" s="20" t="s">
        <v>208</v>
      </c>
      <c r="F137" s="20">
        <v>28</v>
      </c>
      <c r="G137" s="20">
        <v>66.56</v>
      </c>
      <c r="H137" s="20" t="s">
        <v>288</v>
      </c>
      <c r="I137" s="20" t="str">
        <f>VLOOKUP(H137,Sheet4!A:B,2,)</f>
        <v>matte bronze</v>
      </c>
      <c r="J137" s="42">
        <f>6-4+4+4-2-4-4+8+4-4-4</f>
        <v>4</v>
      </c>
    </row>
    <row r="138" s="63" customFormat="1" ht="20" customHeight="1" spans="1:10">
      <c r="A138" s="44"/>
      <c r="B138" s="19" t="s">
        <v>751</v>
      </c>
      <c r="C138" s="20" t="s">
        <v>645</v>
      </c>
      <c r="D138" s="20" t="s">
        <v>482</v>
      </c>
      <c r="E138" s="20" t="s">
        <v>208</v>
      </c>
      <c r="F138" s="20">
        <v>38</v>
      </c>
      <c r="G138" s="20">
        <v>66.56</v>
      </c>
      <c r="H138" s="20" t="s">
        <v>288</v>
      </c>
      <c r="I138" s="20" t="str">
        <f>VLOOKUP(H138,Sheet4!A:B,2,)</f>
        <v>matte bronze</v>
      </c>
      <c r="J138" s="42">
        <f>2-2</f>
        <v>0</v>
      </c>
    </row>
    <row r="139" s="63" customFormat="1" ht="20" customHeight="1" spans="1:10">
      <c r="A139" s="44"/>
      <c r="B139" s="19" t="s">
        <v>752</v>
      </c>
      <c r="C139" s="20" t="s">
        <v>645</v>
      </c>
      <c r="D139" s="20" t="s">
        <v>23</v>
      </c>
      <c r="E139" s="20" t="s">
        <v>40</v>
      </c>
      <c r="F139" s="20">
        <v>38</v>
      </c>
      <c r="G139" s="20">
        <v>73.1</v>
      </c>
      <c r="H139" s="20" t="s">
        <v>288</v>
      </c>
      <c r="I139" s="20" t="str">
        <f>VLOOKUP(H139,Sheet4!A:B,2,)</f>
        <v>matte bronze</v>
      </c>
      <c r="J139" s="42">
        <f>8-4-4+8-4-4+8-4-4+8-4-4+8-4-4+8-4-4+4-4</f>
        <v>0</v>
      </c>
    </row>
    <row r="140" s="63" customFormat="1" ht="20" customHeight="1" spans="1:10">
      <c r="A140" s="44"/>
      <c r="B140" s="19" t="s">
        <v>753</v>
      </c>
      <c r="C140" s="20" t="s">
        <v>645</v>
      </c>
      <c r="D140" s="20" t="s">
        <v>23</v>
      </c>
      <c r="E140" s="20" t="s">
        <v>20</v>
      </c>
      <c r="F140" s="20">
        <v>40</v>
      </c>
      <c r="G140" s="20">
        <v>63.4</v>
      </c>
      <c r="H140" s="20" t="s">
        <v>288</v>
      </c>
      <c r="I140" s="20" t="str">
        <f>VLOOKUP(H140,Sheet4!A:B,2,)</f>
        <v>matte bronze</v>
      </c>
      <c r="J140" s="42">
        <f>16-4-4-4-4</f>
        <v>0</v>
      </c>
    </row>
    <row r="141" s="63" customFormat="1" ht="20" customHeight="1" spans="1:10">
      <c r="A141" s="44"/>
      <c r="B141" s="19" t="s">
        <v>754</v>
      </c>
      <c r="C141" s="20" t="s">
        <v>645</v>
      </c>
      <c r="D141" s="20" t="s">
        <v>23</v>
      </c>
      <c r="E141" s="20" t="s">
        <v>13</v>
      </c>
      <c r="F141" s="20">
        <v>30</v>
      </c>
      <c r="G141" s="20">
        <v>72.56</v>
      </c>
      <c r="H141" s="20" t="s">
        <v>67</v>
      </c>
      <c r="I141" s="20" t="str">
        <f>VLOOKUP(H141,Sheet4!A:B,2,)</f>
        <v>silver plating</v>
      </c>
      <c r="J141" s="42">
        <f>4-4+8-2-2-2+2</f>
        <v>4</v>
      </c>
    </row>
    <row r="142" s="63" customFormat="1" ht="20" customHeight="1" spans="1:10">
      <c r="A142" s="44"/>
      <c r="B142" s="19" t="s">
        <v>755</v>
      </c>
      <c r="C142" s="20" t="s">
        <v>645</v>
      </c>
      <c r="D142" s="20" t="s">
        <v>482</v>
      </c>
      <c r="E142" s="20" t="s">
        <v>13</v>
      </c>
      <c r="F142" s="20">
        <v>38</v>
      </c>
      <c r="G142" s="20">
        <v>72.56</v>
      </c>
      <c r="H142" s="20" t="s">
        <v>67</v>
      </c>
      <c r="I142" s="20" t="str">
        <f>VLOOKUP(H142,Sheet4!A:B,2,)</f>
        <v>silver plating</v>
      </c>
      <c r="J142" s="42">
        <f>4+4-2-2-2+2-1</f>
        <v>3</v>
      </c>
    </row>
    <row r="143" s="63" customFormat="1" ht="20" customHeight="1" spans="1:10">
      <c r="A143" s="44"/>
      <c r="B143" s="19" t="s">
        <v>756</v>
      </c>
      <c r="C143" s="20" t="s">
        <v>645</v>
      </c>
      <c r="D143" s="20" t="s">
        <v>23</v>
      </c>
      <c r="E143" s="20" t="s">
        <v>208</v>
      </c>
      <c r="F143" s="20">
        <v>28</v>
      </c>
      <c r="G143" s="20">
        <v>66.56</v>
      </c>
      <c r="H143" s="20" t="s">
        <v>67</v>
      </c>
      <c r="I143" s="20" t="str">
        <f>VLOOKUP(H143,Sheet4!A:B,2,)</f>
        <v>silver plating</v>
      </c>
      <c r="J143" s="42">
        <f>4-4+2</f>
        <v>2</v>
      </c>
    </row>
    <row r="144" s="63" customFormat="1" ht="20" customHeight="1" spans="1:10">
      <c r="A144" s="44"/>
      <c r="B144" s="19" t="s">
        <v>757</v>
      </c>
      <c r="C144" s="20" t="s">
        <v>645</v>
      </c>
      <c r="D144" s="20" t="s">
        <v>482</v>
      </c>
      <c r="E144" s="20" t="s">
        <v>208</v>
      </c>
      <c r="F144" s="20">
        <v>38</v>
      </c>
      <c r="G144" s="20">
        <v>66.56</v>
      </c>
      <c r="H144" s="20" t="s">
        <v>67</v>
      </c>
      <c r="I144" s="20" t="str">
        <f>VLOOKUP(H144,Sheet4!A:B,2,)</f>
        <v>silver plating</v>
      </c>
      <c r="J144" s="42">
        <f>2</f>
        <v>2</v>
      </c>
    </row>
    <row r="145" s="63" customFormat="1" ht="20" customHeight="1" spans="1:10">
      <c r="A145" s="44"/>
      <c r="B145" s="19" t="s">
        <v>758</v>
      </c>
      <c r="C145" s="20" t="s">
        <v>645</v>
      </c>
      <c r="D145" s="20" t="s">
        <v>23</v>
      </c>
      <c r="E145" s="20" t="s">
        <v>40</v>
      </c>
      <c r="F145" s="20">
        <v>38</v>
      </c>
      <c r="G145" s="20">
        <v>73.1</v>
      </c>
      <c r="H145" s="20" t="s">
        <v>67</v>
      </c>
      <c r="I145" s="20" t="str">
        <f>VLOOKUP(H145,Sheet4!A:B,2,)</f>
        <v>silver plating</v>
      </c>
      <c r="J145" s="42">
        <f>4-4+4-4+4+4-4-4+8-4-4+4-4+12-4-4-4+8+4-4-4-4</f>
        <v>0</v>
      </c>
    </row>
    <row r="146" s="63" customFormat="1" ht="20" customHeight="1" spans="1:10">
      <c r="A146" s="44"/>
      <c r="B146" s="19" t="s">
        <v>759</v>
      </c>
      <c r="C146" s="20" t="s">
        <v>645</v>
      </c>
      <c r="D146" s="20" t="s">
        <v>23</v>
      </c>
      <c r="E146" s="20" t="s">
        <v>20</v>
      </c>
      <c r="F146" s="20">
        <v>40</v>
      </c>
      <c r="G146" s="20">
        <v>73.1</v>
      </c>
      <c r="H146" s="20" t="s">
        <v>67</v>
      </c>
      <c r="I146" s="20" t="str">
        <f>VLOOKUP(H146,Sheet4!A:B,2,)</f>
        <v>silver plating</v>
      </c>
      <c r="J146" s="42">
        <f>8-4-4+8-4+4-4-4</f>
        <v>0</v>
      </c>
    </row>
    <row r="147" s="63" customFormat="1" ht="20" customHeight="1" spans="1:10">
      <c r="A147" s="44"/>
      <c r="B147" s="19" t="s">
        <v>760</v>
      </c>
      <c r="C147" s="20" t="s">
        <v>645</v>
      </c>
      <c r="D147" s="20" t="s">
        <v>29</v>
      </c>
      <c r="E147" s="20" t="s">
        <v>208</v>
      </c>
      <c r="F147" s="20">
        <v>30</v>
      </c>
      <c r="G147" s="20">
        <v>66.56</v>
      </c>
      <c r="H147" s="20" t="s">
        <v>67</v>
      </c>
      <c r="I147" s="20" t="str">
        <f>VLOOKUP(H147,Sheet4!A:B,2,)</f>
        <v>silver plating</v>
      </c>
      <c r="J147" s="42">
        <f>10-4-4+4+2-4-2+4+2-4+4-2-4+6-2-4+8-2-4+8-4-2-4+4+4-4-4+2-2+8-4+1+1+4-4+4-2-4-2-2-2+4+8+4-4</f>
        <v>12</v>
      </c>
    </row>
    <row r="148" s="63" customFormat="1" ht="20" customHeight="1" spans="1:10">
      <c r="A148" s="44"/>
      <c r="B148" s="19" t="s">
        <v>761</v>
      </c>
      <c r="C148" s="20" t="s">
        <v>645</v>
      </c>
      <c r="D148" s="20" t="s">
        <v>225</v>
      </c>
      <c r="E148" s="20" t="s">
        <v>208</v>
      </c>
      <c r="F148" s="20">
        <v>38</v>
      </c>
      <c r="G148" s="20">
        <v>66.56</v>
      </c>
      <c r="H148" s="20" t="s">
        <v>67</v>
      </c>
      <c r="I148" s="20" t="str">
        <f>VLOOKUP(H148,Sheet4!A:B,2,)</f>
        <v>silver plating</v>
      </c>
      <c r="J148" s="42">
        <f>2-2+2-2+2-2+2-2+4-2-2+4+2-2-2+2-2-1+4</f>
        <v>5</v>
      </c>
    </row>
    <row r="149" s="63" customFormat="1" ht="20" customHeight="1" spans="1:10">
      <c r="A149" s="44"/>
      <c r="B149" s="19" t="s">
        <v>762</v>
      </c>
      <c r="C149" s="20" t="s">
        <v>645</v>
      </c>
      <c r="D149" s="20" t="s">
        <v>29</v>
      </c>
      <c r="E149" s="20" t="s">
        <v>208</v>
      </c>
      <c r="F149" s="20">
        <v>30</v>
      </c>
      <c r="G149" s="20">
        <v>66.56</v>
      </c>
      <c r="H149" s="20" t="s">
        <v>102</v>
      </c>
      <c r="I149" s="20" t="str">
        <f>VLOOKUP(H149,Sheet4!A:B,2,)</f>
        <v>MATTE BLACK</v>
      </c>
      <c r="J149" s="42">
        <v>0</v>
      </c>
    </row>
    <row r="150" s="63" customFormat="1" ht="20" customHeight="1" spans="1:10">
      <c r="A150" s="44"/>
      <c r="B150" s="19" t="s">
        <v>763</v>
      </c>
      <c r="C150" s="20" t="s">
        <v>645</v>
      </c>
      <c r="D150" s="20" t="s">
        <v>225</v>
      </c>
      <c r="E150" s="20" t="s">
        <v>208</v>
      </c>
      <c r="F150" s="20">
        <v>38</v>
      </c>
      <c r="G150" s="20">
        <v>66.56</v>
      </c>
      <c r="H150" s="20" t="s">
        <v>102</v>
      </c>
      <c r="I150" s="20" t="str">
        <f>VLOOKUP(H150,Sheet4!A:B,2,)</f>
        <v>MATTE BLACK</v>
      </c>
      <c r="J150" s="42">
        <f>2-2+2-2</f>
        <v>0</v>
      </c>
    </row>
    <row r="151" s="63" customFormat="1" ht="20" customHeight="1" spans="1:10">
      <c r="A151" s="44"/>
      <c r="B151" s="19" t="s">
        <v>764</v>
      </c>
      <c r="C151" s="20" t="s">
        <v>645</v>
      </c>
      <c r="D151" s="20" t="s">
        <v>29</v>
      </c>
      <c r="E151" s="20" t="s">
        <v>40</v>
      </c>
      <c r="F151" s="20">
        <v>35</v>
      </c>
      <c r="G151" s="20">
        <v>73.1</v>
      </c>
      <c r="H151" s="20" t="s">
        <v>67</v>
      </c>
      <c r="I151" s="20" t="str">
        <f>VLOOKUP(H151,Sheet4!A:B,2,)</f>
        <v>silver plating</v>
      </c>
      <c r="J151" s="42">
        <f>4-4+8-1-4+5-4-4+4+4-4-4+4-4+8-4+4-4-4</f>
        <v>0</v>
      </c>
    </row>
    <row r="152" s="63" customFormat="1" ht="20" customHeight="1" spans="1:10">
      <c r="A152" s="44"/>
      <c r="B152" s="19" t="s">
        <v>765</v>
      </c>
      <c r="C152" s="20" t="s">
        <v>645</v>
      </c>
      <c r="D152" s="20" t="s">
        <v>29</v>
      </c>
      <c r="E152" s="20" t="s">
        <v>40</v>
      </c>
      <c r="F152" s="20">
        <v>35</v>
      </c>
      <c r="G152" s="20">
        <v>73.1</v>
      </c>
      <c r="H152" s="20" t="s">
        <v>102</v>
      </c>
      <c r="I152" s="20" t="str">
        <f>VLOOKUP(H152,Sheet4!A:B,2,)</f>
        <v>MATTE BLACK</v>
      </c>
      <c r="J152" s="42">
        <f>4+4-4-4+4-4+4-4</f>
        <v>0</v>
      </c>
    </row>
    <row r="153" s="63" customFormat="1" ht="20" customHeight="1" spans="1:10">
      <c r="A153" s="46"/>
      <c r="B153" s="23" t="s">
        <v>766</v>
      </c>
      <c r="C153" s="24" t="s">
        <v>645</v>
      </c>
      <c r="D153" s="24" t="s">
        <v>19</v>
      </c>
      <c r="E153" s="24" t="s">
        <v>13</v>
      </c>
      <c r="F153" s="24">
        <v>38</v>
      </c>
      <c r="G153" s="24">
        <v>72.56</v>
      </c>
      <c r="H153" s="24" t="s">
        <v>16</v>
      </c>
      <c r="I153" s="24" t="str">
        <f>VLOOKUP(H153,Sheet4!A:B,2,)</f>
        <v>GLOSS BLACK</v>
      </c>
      <c r="J153" s="43">
        <f>12</f>
        <v>12</v>
      </c>
    </row>
    <row r="154" s="63" customFormat="1" ht="19" customHeight="1" spans="1:10">
      <c r="A154" s="44"/>
      <c r="B154" s="19" t="s">
        <v>767</v>
      </c>
      <c r="C154" s="20" t="s">
        <v>645</v>
      </c>
      <c r="D154" s="20" t="s">
        <v>12</v>
      </c>
      <c r="E154" s="20" t="s">
        <v>20</v>
      </c>
      <c r="F154" s="20">
        <v>38</v>
      </c>
      <c r="G154" s="20">
        <v>73.1</v>
      </c>
      <c r="H154" s="20" t="s">
        <v>16</v>
      </c>
      <c r="I154" s="20" t="str">
        <f>VLOOKUP(H154,Sheet4!A:B,2,)</f>
        <v>GLOSS BLACK</v>
      </c>
      <c r="J154" s="42">
        <f>4-4+12-4-4+4-4-4+8-4-4+12-4-4-4</f>
        <v>0</v>
      </c>
    </row>
    <row r="155" s="63" customFormat="1" ht="19" customHeight="1" spans="1:10">
      <c r="A155" s="44"/>
      <c r="B155" s="19" t="s">
        <v>768</v>
      </c>
      <c r="C155" s="20" t="s">
        <v>645</v>
      </c>
      <c r="D155" s="20" t="s">
        <v>12</v>
      </c>
      <c r="E155" s="20" t="s">
        <v>40</v>
      </c>
      <c r="F155" s="20">
        <v>35</v>
      </c>
      <c r="G155" s="20">
        <v>73.1</v>
      </c>
      <c r="H155" s="20" t="s">
        <v>16</v>
      </c>
      <c r="I155" s="20" t="str">
        <f>VLOOKUP(H155,Sheet4!A:B,2,)</f>
        <v>GLOSS BLACK</v>
      </c>
      <c r="J155" s="42">
        <f>4-4+4-4+4+4-4-4+4-4</f>
        <v>0</v>
      </c>
    </row>
    <row r="156" s="63" customFormat="1" ht="19" customHeight="1" spans="1:10">
      <c r="A156" s="44"/>
      <c r="B156" s="19" t="s">
        <v>769</v>
      </c>
      <c r="C156" s="20" t="s">
        <v>645</v>
      </c>
      <c r="D156" s="20" t="s">
        <v>12</v>
      </c>
      <c r="E156" s="20" t="s">
        <v>208</v>
      </c>
      <c r="F156" s="20">
        <v>30</v>
      </c>
      <c r="G156" s="20">
        <v>66.56</v>
      </c>
      <c r="H156" s="20" t="s">
        <v>16</v>
      </c>
      <c r="I156" s="20" t="str">
        <f>VLOOKUP(H156,Sheet4!A:B,2,)</f>
        <v>GLOSS BLACK</v>
      </c>
      <c r="J156" s="42">
        <f>4-4+4-4+4-4+4-4+8-4-4+4-4+8-4-4+4-4</f>
        <v>0</v>
      </c>
    </row>
    <row r="157" s="63" customFormat="1" ht="19" customHeight="1" spans="1:10">
      <c r="A157" s="44"/>
      <c r="B157" s="19" t="s">
        <v>770</v>
      </c>
      <c r="C157" s="20" t="s">
        <v>645</v>
      </c>
      <c r="D157" s="20" t="s">
        <v>12</v>
      </c>
      <c r="E157" s="20" t="s">
        <v>13</v>
      </c>
      <c r="F157" s="20">
        <v>30</v>
      </c>
      <c r="G157" s="20">
        <v>72.56</v>
      </c>
      <c r="H157" s="20" t="s">
        <v>102</v>
      </c>
      <c r="I157" s="20" t="str">
        <f>VLOOKUP(H157,Sheet4!A:B,2,)</f>
        <v>MATTE BLACK</v>
      </c>
      <c r="J157" s="42">
        <f>4-4+8-4-4+4-4</f>
        <v>0</v>
      </c>
    </row>
    <row r="158" s="63" customFormat="1" ht="19" customHeight="1" spans="1:10">
      <c r="A158" s="44"/>
      <c r="B158" s="19" t="s">
        <v>771</v>
      </c>
      <c r="C158" s="20" t="s">
        <v>645</v>
      </c>
      <c r="D158" s="20" t="s">
        <v>23</v>
      </c>
      <c r="E158" s="20" t="s">
        <v>13</v>
      </c>
      <c r="F158" s="20">
        <v>30</v>
      </c>
      <c r="G158" s="20">
        <v>72.56</v>
      </c>
      <c r="H158" s="20" t="s">
        <v>16</v>
      </c>
      <c r="I158" s="20" t="str">
        <f>VLOOKUP(H158,Sheet4!A:B,2,)</f>
        <v>GLOSS BLACK</v>
      </c>
      <c r="J158" s="42">
        <f>4-2+2-4+8-4-2+4-2-4+6-4+4-4+8-4-4+4-4+12-4-4+4-4-2+14-4-2-2-4</f>
        <v>6</v>
      </c>
    </row>
    <row r="159" s="63" customFormat="1" ht="19" customHeight="1" spans="1:10">
      <c r="A159" s="44"/>
      <c r="B159" s="19" t="s">
        <v>772</v>
      </c>
      <c r="C159" s="20" t="s">
        <v>645</v>
      </c>
      <c r="D159" s="20" t="s">
        <v>482</v>
      </c>
      <c r="E159" s="20" t="s">
        <v>13</v>
      </c>
      <c r="F159" s="20">
        <v>38</v>
      </c>
      <c r="G159" s="20">
        <v>72.56</v>
      </c>
      <c r="H159" s="20" t="s">
        <v>16</v>
      </c>
      <c r="I159" s="20" t="str">
        <f>VLOOKUP(H159,Sheet4!A:B,2,)</f>
        <v>GLOSS BLACK</v>
      </c>
      <c r="J159" s="42">
        <f>4-2-1+2-2+1-2+2-2+6-2-2</f>
        <v>2</v>
      </c>
    </row>
    <row r="160" s="63" customFormat="1" ht="19" customHeight="1" spans="1:10">
      <c r="A160" s="44"/>
      <c r="B160" s="19" t="s">
        <v>773</v>
      </c>
      <c r="C160" s="20" t="s">
        <v>645</v>
      </c>
      <c r="D160" s="20" t="s">
        <v>23</v>
      </c>
      <c r="E160" s="20" t="s">
        <v>208</v>
      </c>
      <c r="F160" s="20">
        <v>28</v>
      </c>
      <c r="G160" s="20">
        <v>66.56</v>
      </c>
      <c r="H160" s="20" t="s">
        <v>16</v>
      </c>
      <c r="I160" s="20" t="str">
        <f>VLOOKUP(H160,Sheet4!A:B,2,)</f>
        <v>GLOSS BLACK</v>
      </c>
      <c r="J160" s="42">
        <f>4+2-4+6-4-4+8-4-2+4-4-2+4-4+8-4+2-4+4-4-2</f>
        <v>0</v>
      </c>
    </row>
    <row r="161" s="63" customFormat="1" ht="19" customHeight="1" spans="1:10">
      <c r="A161" s="44"/>
      <c r="B161" s="19" t="s">
        <v>774</v>
      </c>
      <c r="C161" s="20" t="s">
        <v>645</v>
      </c>
      <c r="D161" s="20" t="s">
        <v>482</v>
      </c>
      <c r="E161" s="20" t="s">
        <v>208</v>
      </c>
      <c r="F161" s="20">
        <v>38</v>
      </c>
      <c r="G161" s="20">
        <v>66.56</v>
      </c>
      <c r="H161" s="20" t="s">
        <v>16</v>
      </c>
      <c r="I161" s="20" t="str">
        <f>VLOOKUP(H161,Sheet4!A:B,2,)</f>
        <v>GLOSS BLACK</v>
      </c>
      <c r="J161" s="42">
        <f>2+2-2-2+2+4-2</f>
        <v>4</v>
      </c>
    </row>
    <row r="162" s="63" customFormat="1" ht="19" customHeight="1" spans="1:10">
      <c r="A162" s="44"/>
      <c r="B162" s="19" t="s">
        <v>775</v>
      </c>
      <c r="C162" s="20" t="s">
        <v>645</v>
      </c>
      <c r="D162" s="20" t="s">
        <v>23</v>
      </c>
      <c r="E162" s="20" t="s">
        <v>40</v>
      </c>
      <c r="F162" s="20">
        <v>38</v>
      </c>
      <c r="G162" s="20">
        <v>73.1</v>
      </c>
      <c r="H162" s="20" t="s">
        <v>16</v>
      </c>
      <c r="I162" s="20" t="str">
        <f>VLOOKUP(H162,Sheet4!A:B,2,)</f>
        <v>GLOSS BLACK</v>
      </c>
      <c r="J162" s="42">
        <f>4-4+4-4+4+8-4-4-4+8-4-4+4-4</f>
        <v>0</v>
      </c>
    </row>
    <row r="163" s="63" customFormat="1" ht="19" customHeight="1" spans="1:10">
      <c r="A163" s="44"/>
      <c r="B163" s="19" t="s">
        <v>776</v>
      </c>
      <c r="C163" s="20" t="s">
        <v>645</v>
      </c>
      <c r="D163" s="20" t="s">
        <v>23</v>
      </c>
      <c r="E163" s="20" t="s">
        <v>20</v>
      </c>
      <c r="F163" s="20">
        <v>40</v>
      </c>
      <c r="G163" s="20">
        <v>73.1</v>
      </c>
      <c r="H163" s="20" t="s">
        <v>16</v>
      </c>
      <c r="I163" s="20" t="str">
        <f>VLOOKUP(H163,Sheet4!A:B,2,)</f>
        <v>GLOSS BLACK</v>
      </c>
      <c r="J163" s="42">
        <f>8-4+4-4-4+8-4+4-4-4</f>
        <v>0</v>
      </c>
    </row>
    <row r="164" s="63" customFormat="1" ht="19" customHeight="1" spans="1:10">
      <c r="A164" s="44"/>
      <c r="B164" s="19" t="s">
        <v>777</v>
      </c>
      <c r="C164" s="20" t="s">
        <v>645</v>
      </c>
      <c r="D164" s="20" t="s">
        <v>23</v>
      </c>
      <c r="E164" s="20" t="s">
        <v>13</v>
      </c>
      <c r="F164" s="20">
        <v>30</v>
      </c>
      <c r="G164" s="20">
        <v>72.56</v>
      </c>
      <c r="H164" s="20" t="s">
        <v>288</v>
      </c>
      <c r="I164" s="20" t="str">
        <f>VLOOKUP(H164,Sheet4!A:B,2,)</f>
        <v>matte bronze</v>
      </c>
      <c r="J164" s="42">
        <f>2+2-4+8-4+4+4-2-4</f>
        <v>6</v>
      </c>
    </row>
    <row r="165" s="63" customFormat="1" ht="19" customHeight="1" spans="1:10">
      <c r="A165" s="44"/>
      <c r="B165" s="19" t="s">
        <v>778</v>
      </c>
      <c r="C165" s="20" t="s">
        <v>645</v>
      </c>
      <c r="D165" s="20" t="s">
        <v>482</v>
      </c>
      <c r="E165" s="20" t="s">
        <v>13</v>
      </c>
      <c r="F165" s="20">
        <v>38</v>
      </c>
      <c r="G165" s="20">
        <v>72.56</v>
      </c>
      <c r="H165" s="20" t="s">
        <v>288</v>
      </c>
      <c r="I165" s="20" t="str">
        <f>VLOOKUP(H165,Sheet4!A:B,2,)</f>
        <v>matte bronze</v>
      </c>
      <c r="J165" s="42">
        <f>2+2-2</f>
        <v>2</v>
      </c>
    </row>
    <row r="166" s="63" customFormat="1" ht="19" customHeight="1" spans="1:10">
      <c r="A166" s="44"/>
      <c r="B166" s="19" t="s">
        <v>779</v>
      </c>
      <c r="C166" s="20" t="s">
        <v>645</v>
      </c>
      <c r="D166" s="20" t="s">
        <v>23</v>
      </c>
      <c r="E166" s="20" t="s">
        <v>208</v>
      </c>
      <c r="F166" s="20">
        <v>28</v>
      </c>
      <c r="G166" s="20">
        <v>66.56</v>
      </c>
      <c r="H166" s="20" t="s">
        <v>288</v>
      </c>
      <c r="I166" s="20" t="str">
        <f>VLOOKUP(H166,Sheet4!A:B,2,)</f>
        <v>matte bronze</v>
      </c>
      <c r="J166" s="42">
        <f>2-2+4+4-2-4-2</f>
        <v>0</v>
      </c>
    </row>
    <row r="167" s="63" customFormat="1" ht="19" customHeight="1" spans="1:10">
      <c r="A167" s="44"/>
      <c r="B167" s="19" t="s">
        <v>780</v>
      </c>
      <c r="C167" s="20" t="s">
        <v>645</v>
      </c>
      <c r="D167" s="20" t="s">
        <v>482</v>
      </c>
      <c r="E167" s="20" t="s">
        <v>208</v>
      </c>
      <c r="F167" s="20">
        <v>38</v>
      </c>
      <c r="G167" s="20">
        <v>66.56</v>
      </c>
      <c r="H167" s="20" t="s">
        <v>288</v>
      </c>
      <c r="I167" s="20" t="str">
        <f>VLOOKUP(H167,Sheet4!A:B,2,)</f>
        <v>matte bronze</v>
      </c>
      <c r="J167" s="42">
        <f>2-2+4-2+4-2</f>
        <v>4</v>
      </c>
    </row>
    <row r="168" s="63" customFormat="1" ht="19" customHeight="1" spans="1:10">
      <c r="A168" s="44"/>
      <c r="B168" s="19" t="s">
        <v>781</v>
      </c>
      <c r="C168" s="20" t="s">
        <v>645</v>
      </c>
      <c r="D168" s="20" t="s">
        <v>23</v>
      </c>
      <c r="E168" s="20" t="s">
        <v>40</v>
      </c>
      <c r="F168" s="20">
        <v>38</v>
      </c>
      <c r="G168" s="20">
        <v>73.1</v>
      </c>
      <c r="H168" s="20" t="s">
        <v>288</v>
      </c>
      <c r="I168" s="20" t="str">
        <f>VLOOKUP(H168,Sheet4!A:B,2,)</f>
        <v>matte bronze</v>
      </c>
      <c r="J168" s="42">
        <f>4-4</f>
        <v>0</v>
      </c>
    </row>
    <row r="169" s="63" customFormat="1" ht="19" customHeight="1" spans="1:10">
      <c r="A169" s="44"/>
      <c r="B169" s="19" t="s">
        <v>782</v>
      </c>
      <c r="C169" s="20" t="s">
        <v>645</v>
      </c>
      <c r="D169" s="20" t="s">
        <v>23</v>
      </c>
      <c r="E169" s="20" t="s">
        <v>20</v>
      </c>
      <c r="F169" s="20">
        <v>40</v>
      </c>
      <c r="G169" s="20">
        <v>63.4</v>
      </c>
      <c r="H169" s="20" t="s">
        <v>288</v>
      </c>
      <c r="I169" s="20" t="str">
        <f>VLOOKUP(H169,Sheet4!A:B,2,)</f>
        <v>matte bronze</v>
      </c>
      <c r="J169" s="42">
        <v>0</v>
      </c>
    </row>
    <row r="170" s="63" customFormat="1" ht="19" customHeight="1" spans="1:10">
      <c r="A170" s="44"/>
      <c r="B170" s="19" t="s">
        <v>783</v>
      </c>
      <c r="C170" s="20" t="s">
        <v>645</v>
      </c>
      <c r="D170" s="20" t="s">
        <v>29</v>
      </c>
      <c r="E170" s="20" t="s">
        <v>20</v>
      </c>
      <c r="F170" s="20">
        <v>40</v>
      </c>
      <c r="G170" s="20">
        <v>73.1</v>
      </c>
      <c r="H170" s="20" t="s">
        <v>16</v>
      </c>
      <c r="I170" s="20" t="str">
        <f>VLOOKUP(H170,Sheet4!A:B,2,)</f>
        <v>GLOSS BLACK</v>
      </c>
      <c r="J170" s="42">
        <f>4-4+12-4-4-4+8-4-4</f>
        <v>0</v>
      </c>
    </row>
    <row r="171" s="63" customFormat="1" ht="19" customHeight="1" spans="1:10">
      <c r="A171" s="44"/>
      <c r="B171" s="19" t="s">
        <v>784</v>
      </c>
      <c r="C171" s="20" t="s">
        <v>645</v>
      </c>
      <c r="D171" s="20" t="s">
        <v>19</v>
      </c>
      <c r="E171" s="20" t="s">
        <v>13</v>
      </c>
      <c r="F171" s="20">
        <v>38</v>
      </c>
      <c r="G171" s="20">
        <v>72.56</v>
      </c>
      <c r="H171" s="20" t="s">
        <v>16</v>
      </c>
      <c r="I171" s="20" t="str">
        <f>VLOOKUP(H171,Sheet4!A:B,2,)</f>
        <v>GLOSS BLACK</v>
      </c>
      <c r="J171" s="42">
        <f>4-4</f>
        <v>0</v>
      </c>
    </row>
    <row r="172" s="63" customFormat="1" ht="19" customHeight="1" spans="1:10">
      <c r="A172" s="44"/>
      <c r="B172" s="19" t="s">
        <v>785</v>
      </c>
      <c r="C172" s="20" t="s">
        <v>645</v>
      </c>
      <c r="D172" s="20" t="s">
        <v>29</v>
      </c>
      <c r="E172" s="20" t="s">
        <v>208</v>
      </c>
      <c r="F172" s="20">
        <v>30</v>
      </c>
      <c r="G172" s="20">
        <v>66.56</v>
      </c>
      <c r="H172" s="20" t="s">
        <v>16</v>
      </c>
      <c r="I172" s="20" t="str">
        <f>VLOOKUP(H172,Sheet4!A:B,2,)</f>
        <v>GLOSS BLACK</v>
      </c>
      <c r="J172" s="42">
        <f>4-4+8-4-4+4+8-4</f>
        <v>8</v>
      </c>
    </row>
    <row r="173" s="63" customFormat="1" ht="19" customHeight="1" spans="1:10">
      <c r="A173" s="46"/>
      <c r="B173" s="23" t="s">
        <v>786</v>
      </c>
      <c r="C173" s="24" t="s">
        <v>645</v>
      </c>
      <c r="D173" s="24" t="s">
        <v>29</v>
      </c>
      <c r="E173" s="24" t="s">
        <v>40</v>
      </c>
      <c r="F173" s="24">
        <v>35</v>
      </c>
      <c r="G173" s="24">
        <v>73.1</v>
      </c>
      <c r="H173" s="24" t="s">
        <v>16</v>
      </c>
      <c r="I173" s="24" t="str">
        <f>VLOOKUP(H173,Sheet4!A:B,2,)</f>
        <v>GLOSS BLACK</v>
      </c>
      <c r="J173" s="43">
        <f>4-4+4-4+8-4-4+4-4+8-4-4+8-4+4-4-4</f>
        <v>0</v>
      </c>
    </row>
    <row r="174" s="11" customFormat="1" ht="110" customHeight="1" spans="1:10">
      <c r="A174" s="43"/>
      <c r="B174" s="23" t="s">
        <v>787</v>
      </c>
      <c r="C174" s="24" t="s">
        <v>788</v>
      </c>
      <c r="D174" s="24" t="s">
        <v>44</v>
      </c>
      <c r="E174" s="24" t="s">
        <v>208</v>
      </c>
      <c r="F174" s="24">
        <v>33</v>
      </c>
      <c r="G174" s="24">
        <v>66.5</v>
      </c>
      <c r="H174" s="24" t="s">
        <v>513</v>
      </c>
      <c r="I174" s="24" t="str">
        <f>VLOOKUP(H174,Sheet4!A:B,2,)</f>
        <v>silver Machine Face</v>
      </c>
      <c r="J174" s="43">
        <v>2</v>
      </c>
    </row>
    <row r="175" s="11" customFormat="1" ht="110" customHeight="1" spans="1:10">
      <c r="A175" s="43"/>
      <c r="B175" s="23"/>
      <c r="C175" s="24" t="s">
        <v>789</v>
      </c>
      <c r="D175" s="24" t="s">
        <v>225</v>
      </c>
      <c r="E175" s="24" t="s">
        <v>13</v>
      </c>
      <c r="F175" s="24"/>
      <c r="G175" s="24">
        <v>72.56</v>
      </c>
      <c r="H175" s="24" t="s">
        <v>790</v>
      </c>
      <c r="I175" s="24"/>
      <c r="J175" s="43">
        <v>1</v>
      </c>
    </row>
    <row r="176" s="11" customFormat="1" ht="94" customHeight="1" spans="1:10">
      <c r="A176" s="43"/>
      <c r="B176" s="23" t="s">
        <v>791</v>
      </c>
      <c r="C176" s="24" t="s">
        <v>608</v>
      </c>
      <c r="D176" s="24">
        <v>18</v>
      </c>
      <c r="E176" s="24"/>
      <c r="F176" s="24"/>
      <c r="G176" s="24"/>
      <c r="H176" s="24" t="s">
        <v>792</v>
      </c>
      <c r="I176" s="24"/>
      <c r="J176" s="43">
        <v>1</v>
      </c>
    </row>
    <row r="177" s="11" customFormat="1" ht="94" customHeight="1" spans="1:10">
      <c r="A177" s="43"/>
      <c r="B177" s="23" t="s">
        <v>793</v>
      </c>
      <c r="C177" s="24" t="s">
        <v>624</v>
      </c>
      <c r="D177" s="24" t="s">
        <v>128</v>
      </c>
      <c r="E177" s="24"/>
      <c r="F177" s="24"/>
      <c r="G177" s="24"/>
      <c r="H177" s="24" t="s">
        <v>794</v>
      </c>
      <c r="I177" s="24"/>
      <c r="J177" s="43">
        <v>1</v>
      </c>
    </row>
    <row r="178" s="11" customFormat="1" ht="105" customHeight="1" spans="1:10">
      <c r="A178" s="42"/>
      <c r="B178" s="19"/>
      <c r="C178" s="20" t="s">
        <v>624</v>
      </c>
      <c r="D178" s="20"/>
      <c r="E178" s="20"/>
      <c r="F178" s="20"/>
      <c r="G178" s="20"/>
      <c r="H178" s="20"/>
      <c r="I178" s="20"/>
      <c r="J178" s="42">
        <v>1</v>
      </c>
    </row>
    <row r="179" s="11" customFormat="1" ht="110" customHeight="1" spans="1:10">
      <c r="A179" s="45"/>
      <c r="B179" s="38"/>
      <c r="C179" s="39" t="s">
        <v>624</v>
      </c>
      <c r="D179" s="39"/>
      <c r="E179" s="39"/>
      <c r="F179" s="39"/>
      <c r="G179" s="39"/>
      <c r="H179" s="39"/>
      <c r="I179" s="39"/>
      <c r="J179" s="45">
        <v>1</v>
      </c>
    </row>
    <row r="180" s="11" customFormat="1" ht="110" customHeight="1" spans="1:10">
      <c r="A180" s="43"/>
      <c r="B180" s="23"/>
      <c r="C180" s="24" t="s">
        <v>608</v>
      </c>
      <c r="D180" s="24"/>
      <c r="E180" s="24"/>
      <c r="F180" s="24"/>
      <c r="G180" s="24"/>
      <c r="H180" s="24"/>
      <c r="I180" s="24"/>
      <c r="J180" s="43">
        <v>1</v>
      </c>
    </row>
    <row r="181" s="63" customFormat="1" ht="87" customHeight="1" spans="1:10">
      <c r="A181" s="34"/>
      <c r="B181" s="23"/>
      <c r="C181" s="307" t="s">
        <v>795</v>
      </c>
      <c r="D181" s="24"/>
      <c r="E181" s="24"/>
      <c r="F181" s="24"/>
      <c r="G181" s="24"/>
      <c r="H181" s="24"/>
      <c r="I181" s="24"/>
      <c r="J181" s="43">
        <v>1</v>
      </c>
    </row>
    <row r="182" s="63" customFormat="1" ht="87" customHeight="1" spans="1:10">
      <c r="A182" s="34"/>
      <c r="B182" s="23"/>
      <c r="C182" s="307" t="s">
        <v>796</v>
      </c>
      <c r="D182" s="24"/>
      <c r="E182" s="24"/>
      <c r="F182" s="24"/>
      <c r="G182" s="24"/>
      <c r="H182" s="24"/>
      <c r="I182" s="24"/>
      <c r="J182" s="43">
        <v>1</v>
      </c>
    </row>
    <row r="183" s="63" customFormat="1" ht="87" customHeight="1" spans="1:10">
      <c r="A183" s="308"/>
      <c r="B183" s="74"/>
      <c r="C183" s="309" t="s">
        <v>796</v>
      </c>
      <c r="D183" s="75"/>
      <c r="E183" s="75"/>
      <c r="F183" s="75"/>
      <c r="G183" s="75"/>
      <c r="H183" s="75"/>
      <c r="I183" s="75"/>
      <c r="J183" s="77">
        <v>1</v>
      </c>
    </row>
    <row r="184" s="261" customFormat="1" ht="126" customHeight="1" spans="1:10">
      <c r="A184" s="7"/>
      <c r="B184" s="90"/>
      <c r="C184" s="89"/>
      <c r="D184" s="89"/>
      <c r="E184" s="89"/>
      <c r="F184" s="89"/>
      <c r="G184" s="89"/>
      <c r="H184" s="89"/>
      <c r="I184" s="89"/>
      <c r="J184" s="7"/>
    </row>
  </sheetData>
  <autoFilter xmlns:etc="http://www.wps.cn/officeDocument/2017/etCustomData" ref="A2:J183" etc:filterBottomFollowUsedRange="0">
    <extLst/>
  </autoFilter>
  <mergeCells count="18">
    <mergeCell ref="A19:A25"/>
    <mergeCell ref="A26:A30"/>
    <mergeCell ref="A33:A38"/>
    <mergeCell ref="A39:A44"/>
    <mergeCell ref="A50:A56"/>
    <mergeCell ref="A57:A64"/>
    <mergeCell ref="A65:A72"/>
    <mergeCell ref="A76:A81"/>
    <mergeCell ref="A82:A88"/>
    <mergeCell ref="A89:A94"/>
    <mergeCell ref="A100:A104"/>
    <mergeCell ref="A105:A109"/>
    <mergeCell ref="A110:A114"/>
    <mergeCell ref="A119:A124"/>
    <mergeCell ref="A125:A130"/>
    <mergeCell ref="A131:A136"/>
    <mergeCell ref="A154:A159"/>
    <mergeCell ref="A160:A166"/>
  </mergeCells>
  <pageMargins left="0.236111111111111" right="0.0784722222222222" top="0.236111111111111" bottom="0.511805555555556" header="0.5" footer="0.314583333333333"/>
  <pageSetup paperSize="9" scale="70" orientation="landscape" horizontalDpi="600"/>
  <headerFooter>
    <oddFooter>&amp;C&amp;14&amp;B改装款 第 &amp;P 页，共 &amp;N 页</oddFooter>
  </headerFooter>
  <rowBreaks count="1" manualBreakCount="1">
    <brk id="99" max="16383" man="1"/>
  </rowBreaks>
  <ignoredErrors>
    <ignoredError sqref="I12:I13" evalError="1"/>
  </ignoredErrors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indexed="43"/>
  </sheetPr>
  <dimension ref="A1:J407"/>
  <sheetViews>
    <sheetView workbookViewId="0">
      <pane xSplit="1" ySplit="2" topLeftCell="B362" activePane="bottomRight" state="frozen"/>
      <selection/>
      <selection pane="topRight"/>
      <selection pane="bottomLeft"/>
      <selection pane="bottomRight" activeCell="G372" sqref="G372"/>
    </sheetView>
  </sheetViews>
  <sheetFormatPr defaultColWidth="9" defaultRowHeight="13.5"/>
  <cols>
    <col min="1" max="1" width="22.375" style="279" customWidth="1"/>
    <col min="2" max="2" width="18.525" style="90" customWidth="1"/>
    <col min="3" max="3" width="14.875" style="89" customWidth="1"/>
    <col min="4" max="5" width="12.875" style="89" customWidth="1"/>
    <col min="6" max="6" width="8.875" style="89" customWidth="1"/>
    <col min="7" max="7" width="12.875" style="89" customWidth="1"/>
    <col min="8" max="8" width="15.625" style="89" customWidth="1"/>
    <col min="9" max="9" width="25.75" style="89" customWidth="1"/>
    <col min="10" max="10" width="16" style="92" customWidth="1"/>
    <col min="11" max="16384" width="9" style="6"/>
  </cols>
  <sheetData>
    <row r="1" s="6" customFormat="1" ht="85" customHeight="1" spans="1:10">
      <c r="A1" s="279"/>
      <c r="B1" s="90"/>
      <c r="C1" s="89"/>
      <c r="D1" s="89"/>
      <c r="E1" s="89"/>
      <c r="F1" s="89"/>
      <c r="G1" s="89"/>
      <c r="H1" s="89"/>
      <c r="I1" s="89"/>
      <c r="J1" s="92"/>
    </row>
    <row r="2" s="5" customFormat="1" ht="26" customHeight="1" spans="1:10">
      <c r="A2" s="198" t="s">
        <v>0</v>
      </c>
      <c r="B2" s="94" t="s">
        <v>1</v>
      </c>
      <c r="C2" s="94" t="s">
        <v>2</v>
      </c>
      <c r="D2" s="94" t="s">
        <v>3</v>
      </c>
      <c r="E2" s="94" t="s">
        <v>4</v>
      </c>
      <c r="F2" s="94" t="s">
        <v>5</v>
      </c>
      <c r="G2" s="94" t="s">
        <v>6</v>
      </c>
      <c r="H2" s="94" t="s">
        <v>7</v>
      </c>
      <c r="I2" s="94" t="s">
        <v>8</v>
      </c>
      <c r="J2" s="93" t="s">
        <v>9</v>
      </c>
    </row>
    <row r="3" s="197" customFormat="1" ht="29.1" customHeight="1" spans="1:10">
      <c r="A3" s="201"/>
      <c r="B3" s="19" t="s">
        <v>797</v>
      </c>
      <c r="C3" s="20" t="s">
        <v>798</v>
      </c>
      <c r="D3" s="20" t="s">
        <v>12</v>
      </c>
      <c r="E3" s="20" t="s">
        <v>13</v>
      </c>
      <c r="F3" s="20">
        <v>30</v>
      </c>
      <c r="G3" s="20">
        <v>72.56</v>
      </c>
      <c r="H3" s="20" t="s">
        <v>21</v>
      </c>
      <c r="I3" s="20" t="str">
        <f>VLOOKUP(H3,Sheet4!A:B,2,)</f>
        <v>Black Machine Face</v>
      </c>
      <c r="J3" s="21">
        <f>8-4+4-4+4-4-4</f>
        <v>0</v>
      </c>
    </row>
    <row r="4" s="197" customFormat="1" ht="29" customHeight="1" spans="1:10">
      <c r="A4" s="201"/>
      <c r="B4" s="19" t="s">
        <v>799</v>
      </c>
      <c r="C4" s="20" t="s">
        <v>798</v>
      </c>
      <c r="D4" s="20" t="s">
        <v>12</v>
      </c>
      <c r="E4" s="20" t="s">
        <v>208</v>
      </c>
      <c r="F4" s="20">
        <v>30</v>
      </c>
      <c r="G4" s="20">
        <v>66.56</v>
      </c>
      <c r="H4" s="20" t="s">
        <v>21</v>
      </c>
      <c r="I4" s="20" t="str">
        <f>VLOOKUP(H4,Sheet4!A:B,2,)</f>
        <v>Black Machine Face</v>
      </c>
      <c r="J4" s="21">
        <f>20-4+3-4+4-4-4-4-4</f>
        <v>3</v>
      </c>
    </row>
    <row r="5" s="197" customFormat="1" ht="29.1" customHeight="1" spans="1:10">
      <c r="A5" s="201"/>
      <c r="B5" s="19" t="s">
        <v>800</v>
      </c>
      <c r="C5" s="20" t="s">
        <v>798</v>
      </c>
      <c r="D5" s="20" t="s">
        <v>44</v>
      </c>
      <c r="E5" s="20" t="s">
        <v>208</v>
      </c>
      <c r="F5" s="20">
        <v>25</v>
      </c>
      <c r="G5" s="20">
        <v>66.56</v>
      </c>
      <c r="H5" s="20" t="s">
        <v>21</v>
      </c>
      <c r="I5" s="20" t="str">
        <f>VLOOKUP(H5,Sheet4!A:B,2,)</f>
        <v>Black Machine Face</v>
      </c>
      <c r="J5" s="21">
        <v>0</v>
      </c>
    </row>
    <row r="6" s="197" customFormat="1" ht="29.1" customHeight="1" spans="1:10">
      <c r="A6" s="206"/>
      <c r="B6" s="23" t="s">
        <v>800</v>
      </c>
      <c r="C6" s="24" t="s">
        <v>798</v>
      </c>
      <c r="D6" s="24" t="s">
        <v>489</v>
      </c>
      <c r="E6" s="24" t="s">
        <v>208</v>
      </c>
      <c r="F6" s="24">
        <v>35</v>
      </c>
      <c r="G6" s="24">
        <v>66.56</v>
      </c>
      <c r="H6" s="24" t="s">
        <v>21</v>
      </c>
      <c r="I6" s="24" t="str">
        <f>VLOOKUP(H6,Sheet4!A:B,2,)</f>
        <v>Black Machine Face</v>
      </c>
      <c r="J6" s="25">
        <v>0</v>
      </c>
    </row>
    <row r="7" s="197" customFormat="1" ht="52" customHeight="1" spans="1:10">
      <c r="A7" s="201"/>
      <c r="B7" s="19" t="s">
        <v>801</v>
      </c>
      <c r="C7" s="20" t="s">
        <v>802</v>
      </c>
      <c r="D7" s="20" t="s">
        <v>44</v>
      </c>
      <c r="E7" s="20" t="s">
        <v>208</v>
      </c>
      <c r="F7" s="20">
        <v>25</v>
      </c>
      <c r="G7" s="20">
        <v>66.56</v>
      </c>
      <c r="H7" s="20" t="s">
        <v>21</v>
      </c>
      <c r="I7" s="20" t="str">
        <f>VLOOKUP(H7,Sheet4!A:B,2,)</f>
        <v>Black Machine Face</v>
      </c>
      <c r="J7" s="21">
        <f>2+2-2-2+2-2+2-2+2-2</f>
        <v>0</v>
      </c>
    </row>
    <row r="8" s="197" customFormat="1" ht="52" customHeight="1" spans="1:10">
      <c r="A8" s="206"/>
      <c r="B8" s="23" t="s">
        <v>801</v>
      </c>
      <c r="C8" s="24" t="s">
        <v>802</v>
      </c>
      <c r="D8" s="24" t="s">
        <v>489</v>
      </c>
      <c r="E8" s="24" t="s">
        <v>208</v>
      </c>
      <c r="F8" s="24">
        <v>35</v>
      </c>
      <c r="G8" s="24">
        <v>66.56</v>
      </c>
      <c r="H8" s="24" t="s">
        <v>21</v>
      </c>
      <c r="I8" s="24" t="str">
        <f>VLOOKUP(H8,Sheet4!A:B,2,)</f>
        <v>Black Machine Face</v>
      </c>
      <c r="J8" s="25">
        <f>2+2-2-2+2-2+2-2+2-2</f>
        <v>0</v>
      </c>
    </row>
    <row r="9" s="197" customFormat="1" ht="30" customHeight="1" spans="1:10">
      <c r="A9" s="280"/>
      <c r="B9" s="281" t="s">
        <v>803</v>
      </c>
      <c r="C9" s="281" t="s">
        <v>804</v>
      </c>
      <c r="D9" s="282" t="s">
        <v>23</v>
      </c>
      <c r="E9" s="282" t="s">
        <v>208</v>
      </c>
      <c r="F9" s="283">
        <v>25</v>
      </c>
      <c r="G9" s="283">
        <v>66.5</v>
      </c>
      <c r="H9" s="282" t="s">
        <v>16</v>
      </c>
      <c r="I9" s="282" t="str">
        <f>VLOOKUP(H9,Sheet4!A:B,2,)</f>
        <v>GLOSS BLACK</v>
      </c>
      <c r="J9" s="284">
        <v>6</v>
      </c>
    </row>
    <row r="10" s="197" customFormat="1" ht="30" customHeight="1" spans="1:10">
      <c r="A10" s="201"/>
      <c r="B10" s="19" t="s">
        <v>805</v>
      </c>
      <c r="C10" s="19" t="s">
        <v>804</v>
      </c>
      <c r="D10" s="20" t="s">
        <v>482</v>
      </c>
      <c r="E10" s="20" t="s">
        <v>208</v>
      </c>
      <c r="F10" s="142">
        <v>35</v>
      </c>
      <c r="G10" s="142">
        <v>66.5</v>
      </c>
      <c r="H10" s="20" t="s">
        <v>16</v>
      </c>
      <c r="I10" s="20" t="str">
        <f>VLOOKUP(H10,Sheet4!A:B,2,)</f>
        <v>GLOSS BLACK</v>
      </c>
      <c r="J10" s="21">
        <v>6</v>
      </c>
    </row>
    <row r="11" s="197" customFormat="1" ht="30" customHeight="1" spans="1:10">
      <c r="A11" s="201"/>
      <c r="B11" s="19" t="s">
        <v>806</v>
      </c>
      <c r="C11" s="19" t="s">
        <v>804</v>
      </c>
      <c r="D11" s="20" t="s">
        <v>29</v>
      </c>
      <c r="E11" s="20" t="s">
        <v>208</v>
      </c>
      <c r="F11" s="142">
        <v>25</v>
      </c>
      <c r="G11" s="142">
        <v>66.5</v>
      </c>
      <c r="H11" s="20" t="s">
        <v>16</v>
      </c>
      <c r="I11" s="20" t="str">
        <f>VLOOKUP(H11,Sheet4!A:B,2,)</f>
        <v>GLOSS BLACK</v>
      </c>
      <c r="J11" s="21">
        <v>0</v>
      </c>
    </row>
    <row r="12" s="197" customFormat="1" ht="33" customHeight="1" spans="1:10">
      <c r="A12" s="201"/>
      <c r="B12" s="19" t="s">
        <v>807</v>
      </c>
      <c r="C12" s="19" t="s">
        <v>804</v>
      </c>
      <c r="D12" s="20" t="s">
        <v>225</v>
      </c>
      <c r="E12" s="20" t="s">
        <v>208</v>
      </c>
      <c r="F12" s="142">
        <v>35</v>
      </c>
      <c r="G12" s="142">
        <v>66.5</v>
      </c>
      <c r="H12" s="20" t="s">
        <v>16</v>
      </c>
      <c r="I12" s="20" t="str">
        <f>VLOOKUP(H12,Sheet4!A:B,2,)</f>
        <v>GLOSS BLACK</v>
      </c>
      <c r="J12" s="21">
        <v>0</v>
      </c>
    </row>
    <row r="13" s="197" customFormat="1" ht="69" customHeight="1" spans="1:10">
      <c r="A13" s="209"/>
      <c r="B13" s="53" t="s">
        <v>808</v>
      </c>
      <c r="C13" s="53" t="s">
        <v>804</v>
      </c>
      <c r="D13" s="54" t="s">
        <v>23</v>
      </c>
      <c r="E13" s="54" t="s">
        <v>208</v>
      </c>
      <c r="F13" s="54">
        <v>25</v>
      </c>
      <c r="G13" s="54">
        <v>66.56</v>
      </c>
      <c r="H13" s="54" t="s">
        <v>87</v>
      </c>
      <c r="I13" s="54" t="str">
        <f>VLOOKUP(H13,Sheet4!A:B,2,)</f>
        <v>Gunmetal Machine Face</v>
      </c>
      <c r="J13" s="97">
        <f t="shared" ref="J13:J15" si="0">8-4-4+4-4+4+4-4+4</f>
        <v>8</v>
      </c>
    </row>
    <row r="14" s="197" customFormat="1" ht="69" customHeight="1" spans="1:10">
      <c r="A14" s="201"/>
      <c r="B14" s="19" t="s">
        <v>809</v>
      </c>
      <c r="C14" s="19" t="s">
        <v>804</v>
      </c>
      <c r="D14" s="20" t="s">
        <v>29</v>
      </c>
      <c r="E14" s="20" t="s">
        <v>208</v>
      </c>
      <c r="F14" s="20">
        <v>25</v>
      </c>
      <c r="G14" s="20">
        <v>66.56</v>
      </c>
      <c r="H14" s="20" t="s">
        <v>21</v>
      </c>
      <c r="I14" s="20" t="str">
        <f>VLOOKUP(H14,Sheet4!A:B,2,)</f>
        <v>Black Machine Face</v>
      </c>
      <c r="J14" s="21">
        <v>2</v>
      </c>
    </row>
    <row r="15" s="197" customFormat="1" ht="69" customHeight="1" spans="1:10">
      <c r="A15" s="206"/>
      <c r="B15" s="23" t="s">
        <v>810</v>
      </c>
      <c r="C15" s="23" t="s">
        <v>804</v>
      </c>
      <c r="D15" s="24" t="s">
        <v>225</v>
      </c>
      <c r="E15" s="24" t="s">
        <v>208</v>
      </c>
      <c r="F15" s="24">
        <v>35</v>
      </c>
      <c r="G15" s="24">
        <v>66.56</v>
      </c>
      <c r="H15" s="24" t="s">
        <v>21</v>
      </c>
      <c r="I15" s="24" t="str">
        <f>VLOOKUP(H15,Sheet4!A:B,2,)</f>
        <v>Black Machine Face</v>
      </c>
      <c r="J15" s="25">
        <v>2</v>
      </c>
    </row>
    <row r="16" s="6" customFormat="1" ht="25" customHeight="1" spans="1:10">
      <c r="A16" s="78"/>
      <c r="B16" s="19" t="s">
        <v>811</v>
      </c>
      <c r="C16" s="20" t="s">
        <v>804</v>
      </c>
      <c r="D16" s="20" t="s">
        <v>12</v>
      </c>
      <c r="E16" s="20" t="s">
        <v>13</v>
      </c>
      <c r="F16" s="20">
        <v>30</v>
      </c>
      <c r="G16" s="20">
        <v>72.56</v>
      </c>
      <c r="H16" s="20" t="s">
        <v>21</v>
      </c>
      <c r="I16" s="20" t="str">
        <f>VLOOKUP(H16,Sheet4!A:B,2,)</f>
        <v>Black Machine Face</v>
      </c>
      <c r="J16" s="42">
        <f>5+8-4+2-4-4+12</f>
        <v>15</v>
      </c>
    </row>
    <row r="17" s="6" customFormat="1" ht="25" customHeight="1" spans="1:10">
      <c r="A17" s="78"/>
      <c r="B17" s="134" t="s">
        <v>812</v>
      </c>
      <c r="C17" s="148" t="s">
        <v>804</v>
      </c>
      <c r="D17" s="20" t="s">
        <v>12</v>
      </c>
      <c r="E17" s="20" t="s">
        <v>208</v>
      </c>
      <c r="F17" s="20">
        <v>25</v>
      </c>
      <c r="G17" s="20">
        <v>66.56</v>
      </c>
      <c r="H17" s="148" t="s">
        <v>16</v>
      </c>
      <c r="I17" s="148" t="str">
        <f>VLOOKUP(H17,Sheet4!A:B,2,)</f>
        <v>GLOSS BLACK</v>
      </c>
      <c r="J17" s="42">
        <v>0</v>
      </c>
    </row>
    <row r="18" s="6" customFormat="1" ht="25" customHeight="1" spans="1:10">
      <c r="A18" s="78"/>
      <c r="B18" s="19" t="s">
        <v>813</v>
      </c>
      <c r="C18" s="20" t="s">
        <v>804</v>
      </c>
      <c r="D18" s="20" t="s">
        <v>12</v>
      </c>
      <c r="E18" s="20" t="s">
        <v>208</v>
      </c>
      <c r="F18" s="20">
        <v>30</v>
      </c>
      <c r="G18" s="20">
        <v>66.56</v>
      </c>
      <c r="H18" s="20" t="s">
        <v>21</v>
      </c>
      <c r="I18" s="20" t="str">
        <f>VLOOKUP(H18,Sheet4!A:B,2,)</f>
        <v>Black Machine Face</v>
      </c>
      <c r="J18" s="42">
        <f>8-4-4+16-4-4-4-4+4-4+2+8+2-4-4-4+8-4+8-4-4-4+8-4-4+2-2+20-2-2-4-4+20-2-2-4-4-2-4-4-4+4-2+16-4-4+4-4-4-2-4-1-1+8+4-4</f>
        <v>8</v>
      </c>
    </row>
    <row r="19" s="6" customFormat="1" ht="25" customHeight="1" spans="1:10">
      <c r="A19" s="78"/>
      <c r="B19" s="19" t="s">
        <v>813</v>
      </c>
      <c r="C19" s="148" t="s">
        <v>804</v>
      </c>
      <c r="D19" s="20" t="s">
        <v>814</v>
      </c>
      <c r="E19" s="20" t="s">
        <v>208</v>
      </c>
      <c r="F19" s="20">
        <v>35</v>
      </c>
      <c r="G19" s="20">
        <v>66.56</v>
      </c>
      <c r="H19" s="20" t="s">
        <v>21</v>
      </c>
      <c r="I19" s="20" t="str">
        <f>VLOOKUP(H19,Sheet4!A:B,2,)</f>
        <v>Black Machine Face</v>
      </c>
      <c r="J19" s="42">
        <f>4+2+2+2-2-2-2-2-2+4-2-2+4</f>
        <v>4</v>
      </c>
    </row>
    <row r="20" s="6" customFormat="1" ht="25" customHeight="1" spans="1:10">
      <c r="A20" s="78"/>
      <c r="B20" s="19" t="s">
        <v>815</v>
      </c>
      <c r="C20" s="20" t="s">
        <v>804</v>
      </c>
      <c r="D20" s="20" t="s">
        <v>23</v>
      </c>
      <c r="E20" s="20" t="s">
        <v>13</v>
      </c>
      <c r="F20" s="20">
        <v>30</v>
      </c>
      <c r="G20" s="20">
        <v>72.56</v>
      </c>
      <c r="H20" s="20" t="s">
        <v>21</v>
      </c>
      <c r="I20" s="20" t="str">
        <f>VLOOKUP(H20,Sheet4!A:B,2,)</f>
        <v>Black Machine Face</v>
      </c>
      <c r="J20" s="42">
        <f>4-2+2-2+2+4-2-2-2-2+2-2</f>
        <v>0</v>
      </c>
    </row>
    <row r="21" s="6" customFormat="1" ht="25" customHeight="1" spans="1:10">
      <c r="A21" s="78"/>
      <c r="B21" s="19" t="s">
        <v>815</v>
      </c>
      <c r="C21" s="148" t="s">
        <v>804</v>
      </c>
      <c r="D21" s="20" t="s">
        <v>482</v>
      </c>
      <c r="E21" s="20" t="s">
        <v>13</v>
      </c>
      <c r="F21" s="20">
        <v>38</v>
      </c>
      <c r="G21" s="20">
        <v>72.56</v>
      </c>
      <c r="H21" s="20" t="s">
        <v>21</v>
      </c>
      <c r="I21" s="20" t="str">
        <f>VLOOKUP(H21,Sheet4!A:B,2,)</f>
        <v>Black Machine Face</v>
      </c>
      <c r="J21" s="42">
        <f>4-2+2-2+2+4-2-2-2-2+2-2</f>
        <v>0</v>
      </c>
    </row>
    <row r="22" s="6" customFormat="1" ht="25" customHeight="1" spans="1:10">
      <c r="A22" s="78"/>
      <c r="B22" s="19" t="s">
        <v>816</v>
      </c>
      <c r="C22" s="20" t="s">
        <v>804</v>
      </c>
      <c r="D22" s="20" t="s">
        <v>23</v>
      </c>
      <c r="E22" s="20" t="s">
        <v>208</v>
      </c>
      <c r="F22" s="20">
        <v>25</v>
      </c>
      <c r="G22" s="20">
        <v>66.56</v>
      </c>
      <c r="H22" s="20" t="s">
        <v>21</v>
      </c>
      <c r="I22" s="20" t="str">
        <f>VLOOKUP(H22,Sheet4!A:B,2,)</f>
        <v>Black Machine Face</v>
      </c>
      <c r="J22" s="42">
        <f>17-4+4-2-2-2-2-1+10-2-2-2</f>
        <v>12</v>
      </c>
    </row>
    <row r="23" s="6" customFormat="1" ht="25" customHeight="1" spans="1:10">
      <c r="A23" s="78"/>
      <c r="B23" s="19" t="s">
        <v>816</v>
      </c>
      <c r="C23" s="148" t="s">
        <v>804</v>
      </c>
      <c r="D23" s="20" t="s">
        <v>482</v>
      </c>
      <c r="E23" s="20" t="s">
        <v>208</v>
      </c>
      <c r="F23" s="20">
        <v>35</v>
      </c>
      <c r="G23" s="20">
        <v>66.56</v>
      </c>
      <c r="H23" s="20" t="s">
        <v>21</v>
      </c>
      <c r="I23" s="20" t="str">
        <f>VLOOKUP(H23,Sheet4!A:B,2,)</f>
        <v>Black Machine Face</v>
      </c>
      <c r="J23" s="42">
        <f>8-2-2+2+2-2-2-2-2+10-2-2-2-2-2+6-2+2-1+8+1-2-2-2+2-2-2-2-2-2+10-2-2-2</f>
        <v>4</v>
      </c>
    </row>
    <row r="24" s="6" customFormat="1" ht="25" customHeight="1" spans="1:10">
      <c r="A24" s="78"/>
      <c r="B24" s="19" t="s">
        <v>817</v>
      </c>
      <c r="C24" s="20" t="s">
        <v>804</v>
      </c>
      <c r="D24" s="20" t="s">
        <v>44</v>
      </c>
      <c r="E24" s="20" t="s">
        <v>208</v>
      </c>
      <c r="F24" s="20">
        <v>30</v>
      </c>
      <c r="G24" s="20">
        <v>66.56</v>
      </c>
      <c r="H24" s="20" t="s">
        <v>21</v>
      </c>
      <c r="I24" s="20" t="str">
        <f>VLOOKUP(H24,Sheet4!A:B,2,)</f>
        <v>Black Machine Face</v>
      </c>
      <c r="J24" s="42">
        <v>0</v>
      </c>
    </row>
    <row r="25" s="6" customFormat="1" ht="25" customHeight="1" spans="1:10">
      <c r="A25" s="78"/>
      <c r="B25" s="19" t="s">
        <v>817</v>
      </c>
      <c r="C25" s="148" t="s">
        <v>804</v>
      </c>
      <c r="D25" s="20" t="s">
        <v>489</v>
      </c>
      <c r="E25" s="20" t="s">
        <v>208</v>
      </c>
      <c r="F25" s="20">
        <v>44</v>
      </c>
      <c r="G25" s="20">
        <v>66.56</v>
      </c>
      <c r="H25" s="20" t="s">
        <v>21</v>
      </c>
      <c r="I25" s="20" t="str">
        <f>VLOOKUP(H25,Sheet4!A:B,2,)</f>
        <v>Black Machine Face</v>
      </c>
      <c r="J25" s="42">
        <v>0</v>
      </c>
    </row>
    <row r="26" s="6" customFormat="1" ht="25" customHeight="1" spans="1:10">
      <c r="A26" s="78"/>
      <c r="B26" s="19" t="s">
        <v>818</v>
      </c>
      <c r="C26" s="20" t="s">
        <v>804</v>
      </c>
      <c r="D26" s="20" t="s">
        <v>23</v>
      </c>
      <c r="E26" s="20" t="s">
        <v>208</v>
      </c>
      <c r="F26" s="20">
        <v>30</v>
      </c>
      <c r="G26" s="20">
        <v>66.56</v>
      </c>
      <c r="H26" s="20" t="s">
        <v>16</v>
      </c>
      <c r="I26" s="20" t="str">
        <f>VLOOKUP(H26,Sheet4!A:B,2,)</f>
        <v>GLOSS BLACK</v>
      </c>
      <c r="J26" s="42">
        <f>2-2</f>
        <v>0</v>
      </c>
    </row>
    <row r="27" s="6" customFormat="1" ht="25" customHeight="1" spans="1:10">
      <c r="A27" s="79"/>
      <c r="B27" s="23" t="s">
        <v>819</v>
      </c>
      <c r="C27" s="156" t="s">
        <v>804</v>
      </c>
      <c r="D27" s="24" t="s">
        <v>482</v>
      </c>
      <c r="E27" s="24" t="s">
        <v>208</v>
      </c>
      <c r="F27" s="24">
        <v>35</v>
      </c>
      <c r="G27" s="24">
        <v>66.56</v>
      </c>
      <c r="H27" s="24" t="s">
        <v>16</v>
      </c>
      <c r="I27" s="24" t="str">
        <f>VLOOKUP(H27,Sheet4!A:B,2,)</f>
        <v>GLOSS BLACK</v>
      </c>
      <c r="J27" s="43">
        <f>2-2</f>
        <v>0</v>
      </c>
    </row>
    <row r="28" s="197" customFormat="1" ht="27" customHeight="1" spans="1:10">
      <c r="A28" s="201"/>
      <c r="B28" s="19" t="s">
        <v>820</v>
      </c>
      <c r="C28" s="19" t="s">
        <v>804</v>
      </c>
      <c r="D28" s="20" t="s">
        <v>23</v>
      </c>
      <c r="E28" s="20" t="s">
        <v>208</v>
      </c>
      <c r="F28" s="20">
        <v>25</v>
      </c>
      <c r="G28" s="20">
        <v>66.56</v>
      </c>
      <c r="H28" s="20" t="s">
        <v>21</v>
      </c>
      <c r="I28" s="20" t="str">
        <f>VLOOKUP(H28,Sheet4!A:B,2,)</f>
        <v>Black Machine Face</v>
      </c>
      <c r="J28" s="21">
        <f>2+6-4-2-2</f>
        <v>0</v>
      </c>
    </row>
    <row r="29" s="197" customFormat="1" ht="27" customHeight="1" spans="1:10">
      <c r="A29" s="201"/>
      <c r="B29" s="19" t="s">
        <v>821</v>
      </c>
      <c r="C29" s="19" t="s">
        <v>804</v>
      </c>
      <c r="D29" s="20" t="s">
        <v>482</v>
      </c>
      <c r="E29" s="20" t="s">
        <v>208</v>
      </c>
      <c r="F29" s="20">
        <v>35</v>
      </c>
      <c r="G29" s="20">
        <v>66.56</v>
      </c>
      <c r="H29" s="20" t="s">
        <v>21</v>
      </c>
      <c r="I29" s="20" t="str">
        <f>VLOOKUP(H29,Sheet4!A:B,2,)</f>
        <v>Black Machine Face</v>
      </c>
      <c r="J29" s="21">
        <f>2+2-2-2</f>
        <v>0</v>
      </c>
    </row>
    <row r="30" s="197" customFormat="1" ht="27" customHeight="1" spans="1:10">
      <c r="A30" s="201"/>
      <c r="B30" s="19" t="s">
        <v>822</v>
      </c>
      <c r="C30" s="19" t="s">
        <v>804</v>
      </c>
      <c r="D30" s="20" t="s">
        <v>29</v>
      </c>
      <c r="E30" s="20" t="s">
        <v>208</v>
      </c>
      <c r="F30" s="20">
        <v>25</v>
      </c>
      <c r="G30" s="20">
        <v>66.56</v>
      </c>
      <c r="H30" s="20" t="s">
        <v>21</v>
      </c>
      <c r="I30" s="20" t="str">
        <f>VLOOKUP(H30,Sheet4!A:B,2,)</f>
        <v>Black Machine Face</v>
      </c>
      <c r="J30" s="21">
        <f>2-2</f>
        <v>0</v>
      </c>
    </row>
    <row r="31" s="197" customFormat="1" ht="27" customHeight="1" spans="1:10">
      <c r="A31" s="206"/>
      <c r="B31" s="23" t="s">
        <v>823</v>
      </c>
      <c r="C31" s="23" t="s">
        <v>804</v>
      </c>
      <c r="D31" s="24" t="s">
        <v>225</v>
      </c>
      <c r="E31" s="24" t="s">
        <v>208</v>
      </c>
      <c r="F31" s="24">
        <v>35</v>
      </c>
      <c r="G31" s="24">
        <v>66.56</v>
      </c>
      <c r="H31" s="24" t="s">
        <v>21</v>
      </c>
      <c r="I31" s="24" t="str">
        <f>VLOOKUP(H31,Sheet4!A:B,2,)</f>
        <v>Black Machine Face</v>
      </c>
      <c r="J31" s="25">
        <f>2-2</f>
        <v>0</v>
      </c>
    </row>
    <row r="32" s="6" customFormat="1" ht="62" customHeight="1" spans="1:10">
      <c r="A32" s="78"/>
      <c r="B32" s="134" t="s">
        <v>824</v>
      </c>
      <c r="C32" s="65" t="s">
        <v>804</v>
      </c>
      <c r="D32" s="142" t="s">
        <v>825</v>
      </c>
      <c r="E32" s="65" t="s">
        <v>208</v>
      </c>
      <c r="F32" s="142">
        <v>30</v>
      </c>
      <c r="G32" s="65">
        <v>66.45</v>
      </c>
      <c r="H32" s="142" t="s">
        <v>826</v>
      </c>
      <c r="I32" s="142" t="str">
        <f>VLOOKUP(H32,Sheet4!A:B,2,)</f>
        <v>Gunmetal Machine Face</v>
      </c>
      <c r="J32" s="21">
        <v>1</v>
      </c>
    </row>
    <row r="33" s="6" customFormat="1" ht="62" customHeight="1" spans="1:10">
      <c r="A33" s="78"/>
      <c r="B33" s="134" t="s">
        <v>827</v>
      </c>
      <c r="C33" s="65" t="s">
        <v>804</v>
      </c>
      <c r="D33" s="142" t="s">
        <v>828</v>
      </c>
      <c r="E33" s="65" t="s">
        <v>208</v>
      </c>
      <c r="F33" s="142">
        <v>35</v>
      </c>
      <c r="G33" s="65">
        <v>66.45</v>
      </c>
      <c r="H33" s="142" t="s">
        <v>826</v>
      </c>
      <c r="I33" s="142" t="str">
        <f>VLOOKUP(H33,Sheet4!A:B,2,)</f>
        <v>Gunmetal Machine Face</v>
      </c>
      <c r="J33" s="21">
        <v>0</v>
      </c>
    </row>
    <row r="34" s="6" customFormat="1" ht="24" customHeight="1" spans="1:10">
      <c r="A34" s="285"/>
      <c r="B34" s="286" t="s">
        <v>829</v>
      </c>
      <c r="C34" s="103" t="s">
        <v>804</v>
      </c>
      <c r="D34" s="287" t="s">
        <v>12</v>
      </c>
      <c r="E34" s="103" t="s">
        <v>13</v>
      </c>
      <c r="F34" s="287">
        <v>30</v>
      </c>
      <c r="G34" s="103">
        <v>72.56</v>
      </c>
      <c r="H34" s="287" t="s">
        <v>830</v>
      </c>
      <c r="I34" s="287" t="str">
        <f>VLOOKUP(H34,Sheet4!A:B,2,)</f>
        <v>Glossy black side grooves milled</v>
      </c>
      <c r="J34" s="97">
        <f>4+1-4+4-4+4+4</f>
        <v>9</v>
      </c>
    </row>
    <row r="35" s="6" customFormat="1" ht="24" customHeight="1" spans="1:10">
      <c r="A35" s="78"/>
      <c r="B35" s="134" t="s">
        <v>831</v>
      </c>
      <c r="C35" s="65" t="s">
        <v>804</v>
      </c>
      <c r="D35" s="142" t="s">
        <v>12</v>
      </c>
      <c r="E35" s="65" t="s">
        <v>208</v>
      </c>
      <c r="F35" s="142">
        <v>30</v>
      </c>
      <c r="G35" s="65">
        <v>66.56</v>
      </c>
      <c r="H35" s="142" t="s">
        <v>830</v>
      </c>
      <c r="I35" s="142" t="str">
        <f>VLOOKUP(H35,Sheet4!A:B,2,)</f>
        <v>Glossy black side grooves milled</v>
      </c>
      <c r="J35" s="21">
        <f>4-4+4-4+4-4+4-4+4-4</f>
        <v>0</v>
      </c>
    </row>
    <row r="36" s="6" customFormat="1" ht="24" customHeight="1" spans="1:10">
      <c r="A36" s="78"/>
      <c r="B36" s="134" t="s">
        <v>832</v>
      </c>
      <c r="C36" s="65" t="s">
        <v>804</v>
      </c>
      <c r="D36" s="142" t="s">
        <v>23</v>
      </c>
      <c r="E36" s="65" t="s">
        <v>208</v>
      </c>
      <c r="F36" s="142" t="s">
        <v>833</v>
      </c>
      <c r="G36" s="65" t="s">
        <v>834</v>
      </c>
      <c r="H36" s="142" t="s">
        <v>835</v>
      </c>
      <c r="I36" s="142" t="str">
        <f>VLOOKUP(H36,Sheet4!A:B,2,)</f>
        <v>Gloss Black Machined Face</v>
      </c>
      <c r="J36" s="21">
        <v>1</v>
      </c>
    </row>
    <row r="37" s="6" customFormat="1" ht="24" customHeight="1" spans="1:10">
      <c r="A37" s="78"/>
      <c r="B37" s="134" t="s">
        <v>836</v>
      </c>
      <c r="C37" s="65" t="s">
        <v>804</v>
      </c>
      <c r="D37" s="142" t="s">
        <v>23</v>
      </c>
      <c r="E37" s="65" t="s">
        <v>208</v>
      </c>
      <c r="F37" s="142">
        <v>25</v>
      </c>
      <c r="G37" s="65">
        <v>66.5</v>
      </c>
      <c r="H37" s="142" t="s">
        <v>830</v>
      </c>
      <c r="I37" s="142" t="str">
        <f>VLOOKUP(H37,Sheet4!A:B,2,)</f>
        <v>Glossy black side grooves milled</v>
      </c>
      <c r="J37" s="21">
        <f>2-2+2-2+4-2-2+2</f>
        <v>2</v>
      </c>
    </row>
    <row r="38" s="6" customFormat="1" ht="24" customHeight="1" spans="1:10">
      <c r="A38" s="78"/>
      <c r="B38" s="134" t="s">
        <v>836</v>
      </c>
      <c r="C38" s="65" t="s">
        <v>804</v>
      </c>
      <c r="D38" s="142" t="s">
        <v>482</v>
      </c>
      <c r="E38" s="65" t="s">
        <v>208</v>
      </c>
      <c r="F38" s="142">
        <v>35</v>
      </c>
      <c r="G38" s="65">
        <v>66.5</v>
      </c>
      <c r="H38" s="142" t="s">
        <v>830</v>
      </c>
      <c r="I38" s="142" t="str">
        <f>VLOOKUP(H38,Sheet4!A:B,2,)</f>
        <v>Glossy black side grooves milled</v>
      </c>
      <c r="J38" s="21">
        <f>2-2+2-2+4-2-2+2</f>
        <v>2</v>
      </c>
    </row>
    <row r="39" s="6" customFormat="1" ht="24" customHeight="1" spans="1:10">
      <c r="A39" s="78"/>
      <c r="B39" s="134" t="s">
        <v>837</v>
      </c>
      <c r="C39" s="65" t="s">
        <v>804</v>
      </c>
      <c r="D39" s="142" t="s">
        <v>23</v>
      </c>
      <c r="E39" s="65" t="s">
        <v>13</v>
      </c>
      <c r="F39" s="142">
        <v>28</v>
      </c>
      <c r="G39" s="65">
        <v>72.56</v>
      </c>
      <c r="H39" s="142" t="s">
        <v>835</v>
      </c>
      <c r="I39" s="142" t="str">
        <f>VLOOKUP(H39,Sheet4!A:B,2,)</f>
        <v>Gloss Black Machined Face</v>
      </c>
      <c r="J39" s="21">
        <f>6-2-2</f>
        <v>2</v>
      </c>
    </row>
    <row r="40" s="6" customFormat="1" ht="24" customHeight="1" spans="1:10">
      <c r="A40" s="78"/>
      <c r="B40" s="134" t="s">
        <v>837</v>
      </c>
      <c r="C40" s="65" t="s">
        <v>804</v>
      </c>
      <c r="D40" s="142" t="s">
        <v>482</v>
      </c>
      <c r="E40" s="65" t="s">
        <v>13</v>
      </c>
      <c r="F40" s="142">
        <v>38</v>
      </c>
      <c r="G40" s="65">
        <v>72.56</v>
      </c>
      <c r="H40" s="142" t="s">
        <v>835</v>
      </c>
      <c r="I40" s="142" t="str">
        <f>VLOOKUP(H40,Sheet4!A:B,2,)</f>
        <v>Gloss Black Machined Face</v>
      </c>
      <c r="J40" s="21">
        <f>4-2-2</f>
        <v>0</v>
      </c>
    </row>
    <row r="41" s="6" customFormat="1" ht="24" customHeight="1" spans="1:10">
      <c r="A41" s="78"/>
      <c r="B41" s="134" t="s">
        <v>838</v>
      </c>
      <c r="C41" s="65" t="s">
        <v>804</v>
      </c>
      <c r="D41" s="142" t="s">
        <v>29</v>
      </c>
      <c r="E41" s="65" t="s">
        <v>208</v>
      </c>
      <c r="F41" s="142">
        <v>25</v>
      </c>
      <c r="G41" s="65">
        <v>66.45</v>
      </c>
      <c r="H41" s="142" t="s">
        <v>835</v>
      </c>
      <c r="I41" s="142" t="str">
        <f>VLOOKUP(H41,Sheet4!A:B,2,)</f>
        <v>Gloss Black Machined Face</v>
      </c>
      <c r="J41" s="21">
        <v>0</v>
      </c>
    </row>
    <row r="42" s="6" customFormat="1" ht="24" customHeight="1" spans="1:10">
      <c r="A42" s="78"/>
      <c r="B42" s="134" t="s">
        <v>838</v>
      </c>
      <c r="C42" s="65" t="s">
        <v>804</v>
      </c>
      <c r="D42" s="142" t="s">
        <v>225</v>
      </c>
      <c r="E42" s="65" t="s">
        <v>208</v>
      </c>
      <c r="F42" s="142">
        <v>38</v>
      </c>
      <c r="G42" s="65">
        <v>66.45</v>
      </c>
      <c r="H42" s="142" t="s">
        <v>835</v>
      </c>
      <c r="I42" s="142" t="str">
        <f>VLOOKUP(H42,Sheet4!A:B,2,)</f>
        <v>Gloss Black Machined Face</v>
      </c>
      <c r="J42" s="21">
        <f>1</f>
        <v>1</v>
      </c>
    </row>
    <row r="43" s="6" customFormat="1" ht="24" customHeight="1" spans="1:10">
      <c r="A43" s="78"/>
      <c r="B43" s="134" t="s">
        <v>839</v>
      </c>
      <c r="C43" s="65" t="s">
        <v>804</v>
      </c>
      <c r="D43" s="142" t="s">
        <v>225</v>
      </c>
      <c r="E43" s="65" t="s">
        <v>13</v>
      </c>
      <c r="F43" s="142">
        <v>38</v>
      </c>
      <c r="G43" s="65">
        <v>72.56</v>
      </c>
      <c r="H43" s="142" t="s">
        <v>835</v>
      </c>
      <c r="I43" s="142" t="str">
        <f>VLOOKUP(H43,Sheet4!A:B,2,)</f>
        <v>Gloss Black Machined Face</v>
      </c>
      <c r="J43" s="21">
        <v>0</v>
      </c>
    </row>
    <row r="44" s="6" customFormat="1" ht="59" customHeight="1" spans="1:10">
      <c r="A44" s="285"/>
      <c r="B44" s="288" t="s">
        <v>840</v>
      </c>
      <c r="C44" s="289" t="s">
        <v>841</v>
      </c>
      <c r="D44" s="290" t="s">
        <v>29</v>
      </c>
      <c r="E44" s="103" t="s">
        <v>208</v>
      </c>
      <c r="F44" s="287">
        <v>25</v>
      </c>
      <c r="G44" s="103">
        <v>66.5</v>
      </c>
      <c r="H44" s="287" t="s">
        <v>21</v>
      </c>
      <c r="I44" s="287" t="str">
        <f>VLOOKUP(H53,Sheet4!A:B,2,)</f>
        <v>Black Machine Face</v>
      </c>
      <c r="J44" s="97">
        <v>2</v>
      </c>
    </row>
    <row r="45" s="6" customFormat="1" ht="59" customHeight="1" spans="1:10">
      <c r="A45" s="78"/>
      <c r="B45" s="291" t="s">
        <v>840</v>
      </c>
      <c r="C45" s="292" t="s">
        <v>841</v>
      </c>
      <c r="D45" s="293" t="s">
        <v>225</v>
      </c>
      <c r="E45" s="65" t="s">
        <v>208</v>
      </c>
      <c r="F45" s="142">
        <v>35</v>
      </c>
      <c r="G45" s="65">
        <v>66.5</v>
      </c>
      <c r="H45" s="142" t="s">
        <v>21</v>
      </c>
      <c r="I45" s="142" t="str">
        <f>VLOOKUP(H53,Sheet4!A:B,2,)</f>
        <v>Black Machine Face</v>
      </c>
      <c r="J45" s="21">
        <v>2</v>
      </c>
    </row>
    <row r="46" s="197" customFormat="1" ht="28" customHeight="1" spans="1:10">
      <c r="A46" s="209"/>
      <c r="B46" s="53" t="s">
        <v>842</v>
      </c>
      <c r="C46" s="19" t="s">
        <v>804</v>
      </c>
      <c r="D46" s="54" t="s">
        <v>23</v>
      </c>
      <c r="E46" s="54" t="s">
        <v>208</v>
      </c>
      <c r="F46" s="287">
        <v>25</v>
      </c>
      <c r="G46" s="287">
        <v>66.5</v>
      </c>
      <c r="H46" s="54" t="s">
        <v>21</v>
      </c>
      <c r="I46" s="54" t="str">
        <f>VLOOKUP(H46,Sheet4!A:B,2,)</f>
        <v>Black Machine Face</v>
      </c>
      <c r="J46" s="97">
        <f>16+4-4-4</f>
        <v>12</v>
      </c>
    </row>
    <row r="47" s="197" customFormat="1" ht="28" customHeight="1" spans="1:10">
      <c r="A47" s="201"/>
      <c r="B47" s="19" t="s">
        <v>843</v>
      </c>
      <c r="C47" s="19" t="s">
        <v>804</v>
      </c>
      <c r="D47" s="20" t="s">
        <v>23</v>
      </c>
      <c r="E47" s="20" t="s">
        <v>208</v>
      </c>
      <c r="F47" s="142">
        <v>25</v>
      </c>
      <c r="G47" s="142">
        <v>66.5</v>
      </c>
      <c r="H47" s="20" t="s">
        <v>26</v>
      </c>
      <c r="I47" s="20" t="str">
        <f>VLOOKUP(H47,Sheet4!A:B,2,)</f>
        <v>Gloss Black Polisph Face</v>
      </c>
      <c r="J47" s="21">
        <f>4-2+4-4-2+14-4-2-2-1</f>
        <v>5</v>
      </c>
    </row>
    <row r="48" s="197" customFormat="1" ht="28" customHeight="1" spans="1:10">
      <c r="A48" s="201"/>
      <c r="B48" s="19" t="s">
        <v>844</v>
      </c>
      <c r="C48" s="19" t="s">
        <v>804</v>
      </c>
      <c r="D48" s="20" t="s">
        <v>482</v>
      </c>
      <c r="E48" s="20" t="s">
        <v>208</v>
      </c>
      <c r="F48" s="142">
        <v>35</v>
      </c>
      <c r="G48" s="142">
        <v>66.5</v>
      </c>
      <c r="H48" s="20" t="s">
        <v>26</v>
      </c>
      <c r="I48" s="20" t="str">
        <f>VLOOKUP(H48,Sheet4!A:B,2,)</f>
        <v>Gloss Black Polisph Face</v>
      </c>
      <c r="J48" s="21">
        <f>4-2-2+6-2+2</f>
        <v>6</v>
      </c>
    </row>
    <row r="49" s="197" customFormat="1" ht="28" customHeight="1" spans="1:10">
      <c r="A49" s="201"/>
      <c r="B49" s="19" t="s">
        <v>845</v>
      </c>
      <c r="C49" s="19" t="s">
        <v>804</v>
      </c>
      <c r="D49" s="20" t="s">
        <v>29</v>
      </c>
      <c r="E49" s="20" t="s">
        <v>208</v>
      </c>
      <c r="F49" s="142">
        <v>25</v>
      </c>
      <c r="G49" s="142">
        <v>66.5</v>
      </c>
      <c r="H49" s="20" t="s">
        <v>21</v>
      </c>
      <c r="I49" s="20" t="str">
        <f>VLOOKUP(H49,Sheet4!A:B,2,)</f>
        <v>Black Machine Face</v>
      </c>
      <c r="J49" s="21">
        <f>2-2</f>
        <v>0</v>
      </c>
    </row>
    <row r="50" s="197" customFormat="1" ht="28" customHeight="1" spans="1:10">
      <c r="A50" s="201"/>
      <c r="B50" s="19" t="s">
        <v>845</v>
      </c>
      <c r="C50" s="19" t="s">
        <v>804</v>
      </c>
      <c r="D50" s="20" t="s">
        <v>225</v>
      </c>
      <c r="E50" s="20" t="s">
        <v>208</v>
      </c>
      <c r="F50" s="142">
        <v>35</v>
      </c>
      <c r="G50" s="142">
        <v>66.5</v>
      </c>
      <c r="H50" s="20" t="s">
        <v>21</v>
      </c>
      <c r="I50" s="20" t="str">
        <f>VLOOKUP(H50,Sheet4!A:B,2,)</f>
        <v>Black Machine Face</v>
      </c>
      <c r="J50" s="21">
        <f>2-2</f>
        <v>0</v>
      </c>
    </row>
    <row r="51" s="197" customFormat="1" ht="28" customHeight="1" spans="1:10">
      <c r="A51" s="201"/>
      <c r="B51" s="19" t="s">
        <v>846</v>
      </c>
      <c r="C51" s="19" t="s">
        <v>804</v>
      </c>
      <c r="D51" s="20" t="s">
        <v>29</v>
      </c>
      <c r="E51" s="20" t="s">
        <v>208</v>
      </c>
      <c r="F51" s="142">
        <v>25</v>
      </c>
      <c r="G51" s="142">
        <v>66.5</v>
      </c>
      <c r="H51" s="20" t="s">
        <v>26</v>
      </c>
      <c r="I51" s="20" t="str">
        <f>VLOOKUP(H51,Sheet4!A:B,2,)</f>
        <v>Gloss Black Polisph Face</v>
      </c>
      <c r="J51" s="21">
        <v>0</v>
      </c>
    </row>
    <row r="52" s="197" customFormat="1" ht="28" customHeight="1" spans="1:10">
      <c r="A52" s="206"/>
      <c r="B52" s="23" t="s">
        <v>847</v>
      </c>
      <c r="C52" s="23" t="s">
        <v>804</v>
      </c>
      <c r="D52" s="24" t="s">
        <v>225</v>
      </c>
      <c r="E52" s="24" t="s">
        <v>208</v>
      </c>
      <c r="F52" s="146">
        <v>35</v>
      </c>
      <c r="G52" s="146">
        <v>66.5</v>
      </c>
      <c r="H52" s="24" t="s">
        <v>26</v>
      </c>
      <c r="I52" s="24" t="str">
        <f>VLOOKUP(H52,Sheet4!A:B,2,)</f>
        <v>Gloss Black Polisph Face</v>
      </c>
      <c r="J52" s="25">
        <v>0</v>
      </c>
    </row>
    <row r="53" s="6" customFormat="1" ht="31" customHeight="1" spans="1:10">
      <c r="A53" s="78"/>
      <c r="B53" s="19" t="s">
        <v>848</v>
      </c>
      <c r="C53" s="20" t="s">
        <v>804</v>
      </c>
      <c r="D53" s="20" t="s">
        <v>23</v>
      </c>
      <c r="E53" s="20" t="s">
        <v>208</v>
      </c>
      <c r="F53" s="20">
        <v>25</v>
      </c>
      <c r="G53" s="20">
        <v>66.5</v>
      </c>
      <c r="H53" s="20" t="s">
        <v>21</v>
      </c>
      <c r="I53" s="20" t="str">
        <f>VLOOKUP(H53,Sheet4!A:B,2,)</f>
        <v>Black Machine Face</v>
      </c>
      <c r="J53" s="42">
        <f>12-4-4-2+2</f>
        <v>4</v>
      </c>
    </row>
    <row r="54" s="6" customFormat="1" ht="31" customHeight="1" spans="1:10">
      <c r="A54" s="78"/>
      <c r="B54" s="19" t="s">
        <v>848</v>
      </c>
      <c r="C54" s="20" t="s">
        <v>804</v>
      </c>
      <c r="D54" s="20" t="s">
        <v>482</v>
      </c>
      <c r="E54" s="20" t="s">
        <v>208</v>
      </c>
      <c r="F54" s="20">
        <v>35</v>
      </c>
      <c r="G54" s="20">
        <v>66.5</v>
      </c>
      <c r="H54" s="20" t="s">
        <v>21</v>
      </c>
      <c r="I54" s="20" t="str">
        <f>VLOOKUP(H54,Sheet4!A:B,2,)</f>
        <v>Black Machine Face</v>
      </c>
      <c r="J54" s="42">
        <f>4-2+2</f>
        <v>4</v>
      </c>
    </row>
    <row r="55" s="6" customFormat="1" ht="31" customHeight="1" spans="1:10">
      <c r="A55" s="78"/>
      <c r="B55" s="19" t="s">
        <v>849</v>
      </c>
      <c r="C55" s="20" t="s">
        <v>804</v>
      </c>
      <c r="D55" s="20" t="s">
        <v>23</v>
      </c>
      <c r="E55" s="20" t="s">
        <v>13</v>
      </c>
      <c r="F55" s="20">
        <v>30</v>
      </c>
      <c r="G55" s="20">
        <v>72.56</v>
      </c>
      <c r="H55" s="20" t="s">
        <v>21</v>
      </c>
      <c r="I55" s="20" t="str">
        <f>VLOOKUP(H55,Sheet4!A:B,2,)</f>
        <v>Black Machine Face</v>
      </c>
      <c r="J55" s="42">
        <f>4+2</f>
        <v>6</v>
      </c>
    </row>
    <row r="56" s="6" customFormat="1" ht="31" customHeight="1" spans="1:10">
      <c r="A56" s="78"/>
      <c r="B56" s="19" t="s">
        <v>849</v>
      </c>
      <c r="C56" s="20" t="s">
        <v>804</v>
      </c>
      <c r="D56" s="20" t="s">
        <v>482</v>
      </c>
      <c r="E56" s="20" t="s">
        <v>13</v>
      </c>
      <c r="F56" s="20">
        <v>38</v>
      </c>
      <c r="G56" s="20">
        <v>72.56</v>
      </c>
      <c r="H56" s="20" t="s">
        <v>21</v>
      </c>
      <c r="I56" s="20" t="str">
        <f>VLOOKUP(H56,Sheet4!A:B,2,)</f>
        <v>Black Machine Face</v>
      </c>
      <c r="J56" s="42">
        <f>4+2</f>
        <v>6</v>
      </c>
    </row>
    <row r="57" s="6" customFormat="1" ht="31" customHeight="1" spans="1:10">
      <c r="A57" s="78"/>
      <c r="B57" s="19" t="s">
        <v>850</v>
      </c>
      <c r="C57" s="20" t="s">
        <v>804</v>
      </c>
      <c r="D57" s="20" t="s">
        <v>29</v>
      </c>
      <c r="E57" s="20" t="s">
        <v>208</v>
      </c>
      <c r="F57" s="20">
        <v>25</v>
      </c>
      <c r="G57" s="20">
        <v>66.5</v>
      </c>
      <c r="H57" s="20" t="s">
        <v>21</v>
      </c>
      <c r="I57" s="20" t="str">
        <f>VLOOKUP(H57,Sheet4!A:B,2,)</f>
        <v>Black Machine Face</v>
      </c>
      <c r="J57" s="42">
        <f>4-2+2-2-2</f>
        <v>0</v>
      </c>
    </row>
    <row r="58" s="6" customFormat="1" ht="31" customHeight="1" spans="1:10">
      <c r="A58" s="79"/>
      <c r="B58" s="23" t="s">
        <v>850</v>
      </c>
      <c r="C58" s="24" t="s">
        <v>804</v>
      </c>
      <c r="D58" s="24" t="s">
        <v>225</v>
      </c>
      <c r="E58" s="24" t="s">
        <v>208</v>
      </c>
      <c r="F58" s="24">
        <v>35</v>
      </c>
      <c r="G58" s="24">
        <v>66.5</v>
      </c>
      <c r="H58" s="24" t="s">
        <v>21</v>
      </c>
      <c r="I58" s="24" t="str">
        <f>VLOOKUP(H58,Sheet4!A:B,2,)</f>
        <v>Black Machine Face</v>
      </c>
      <c r="J58" s="43">
        <f>4-2-2</f>
        <v>0</v>
      </c>
    </row>
    <row r="59" s="197" customFormat="1" ht="28" customHeight="1" spans="1:10">
      <c r="A59" s="209"/>
      <c r="B59" s="53" t="s">
        <v>851</v>
      </c>
      <c r="C59" s="53" t="s">
        <v>841</v>
      </c>
      <c r="D59" s="54" t="s">
        <v>29</v>
      </c>
      <c r="E59" s="54" t="s">
        <v>208</v>
      </c>
      <c r="F59" s="287">
        <v>25</v>
      </c>
      <c r="G59" s="287">
        <v>66.5</v>
      </c>
      <c r="H59" s="54" t="s">
        <v>87</v>
      </c>
      <c r="I59" s="54" t="str">
        <f>VLOOKUP(H59,Sheet4!A:B,2,)</f>
        <v>Gunmetal Machine Face</v>
      </c>
      <c r="J59" s="97">
        <f>2-2+2-2+2-2+6-2-2-2</f>
        <v>0</v>
      </c>
    </row>
    <row r="60" s="197" customFormat="1" ht="28" customHeight="1" spans="1:10">
      <c r="A60" s="201"/>
      <c r="B60" s="19" t="s">
        <v>851</v>
      </c>
      <c r="C60" s="19" t="s">
        <v>841</v>
      </c>
      <c r="D60" s="20" t="s">
        <v>225</v>
      </c>
      <c r="E60" s="20" t="s">
        <v>208</v>
      </c>
      <c r="F60" s="142">
        <v>35</v>
      </c>
      <c r="G60" s="142">
        <v>66.5</v>
      </c>
      <c r="H60" s="20" t="s">
        <v>87</v>
      </c>
      <c r="I60" s="20" t="str">
        <f>VLOOKUP(H60,Sheet4!A:B,2,)</f>
        <v>Gunmetal Machine Face</v>
      </c>
      <c r="J60" s="21">
        <f>2-2+2-2+2-2+6-2-2-2</f>
        <v>0</v>
      </c>
    </row>
    <row r="61" s="197" customFormat="1" ht="28" customHeight="1" spans="1:10">
      <c r="A61" s="201"/>
      <c r="B61" s="19" t="s">
        <v>852</v>
      </c>
      <c r="C61" s="19" t="s">
        <v>841</v>
      </c>
      <c r="D61" s="20" t="s">
        <v>31</v>
      </c>
      <c r="E61" s="20" t="s">
        <v>208</v>
      </c>
      <c r="F61" s="142">
        <v>25</v>
      </c>
      <c r="G61" s="142">
        <v>66.5</v>
      </c>
      <c r="H61" s="20" t="s">
        <v>87</v>
      </c>
      <c r="I61" s="20" t="str">
        <f>VLOOKUP(H61,Sheet4!A:B,2,)</f>
        <v>Gunmetal Machine Face</v>
      </c>
      <c r="J61" s="21">
        <f>2-2+2-2+4-2+2</f>
        <v>4</v>
      </c>
    </row>
    <row r="62" s="197" customFormat="1" ht="26" customHeight="1" spans="1:10">
      <c r="A62" s="206"/>
      <c r="B62" s="23" t="s">
        <v>852</v>
      </c>
      <c r="C62" s="23" t="s">
        <v>841</v>
      </c>
      <c r="D62" s="24" t="s">
        <v>556</v>
      </c>
      <c r="E62" s="24" t="s">
        <v>208</v>
      </c>
      <c r="F62" s="146">
        <v>35</v>
      </c>
      <c r="G62" s="146">
        <v>66.5</v>
      </c>
      <c r="H62" s="24" t="s">
        <v>87</v>
      </c>
      <c r="I62" s="24" t="str">
        <f>VLOOKUP(H62,Sheet4!A:B,2,)</f>
        <v>Gunmetal Machine Face</v>
      </c>
      <c r="J62" s="25">
        <f>2-2+2-2+4-2+2</f>
        <v>4</v>
      </c>
    </row>
    <row r="63" s="6" customFormat="1" ht="30" customHeight="1" spans="1:10">
      <c r="A63" s="78"/>
      <c r="B63" s="19" t="s">
        <v>853</v>
      </c>
      <c r="C63" s="20" t="s">
        <v>841</v>
      </c>
      <c r="D63" s="20" t="s">
        <v>29</v>
      </c>
      <c r="E63" s="20" t="s">
        <v>208</v>
      </c>
      <c r="F63" s="20">
        <v>25</v>
      </c>
      <c r="G63" s="20">
        <v>66.5</v>
      </c>
      <c r="H63" s="20" t="s">
        <v>16</v>
      </c>
      <c r="I63" s="20" t="str">
        <f>VLOOKUP(H63,Sheet4!A:B,2,)</f>
        <v>GLOSS BLACK</v>
      </c>
      <c r="J63" s="42">
        <v>0</v>
      </c>
    </row>
    <row r="64" s="6" customFormat="1" ht="30" customHeight="1" spans="1:10">
      <c r="A64" s="78"/>
      <c r="B64" s="19" t="s">
        <v>854</v>
      </c>
      <c r="C64" s="20" t="s">
        <v>841</v>
      </c>
      <c r="D64" s="20" t="s">
        <v>225</v>
      </c>
      <c r="E64" s="20" t="s">
        <v>208</v>
      </c>
      <c r="F64" s="20">
        <v>35</v>
      </c>
      <c r="G64" s="20">
        <v>66.5</v>
      </c>
      <c r="H64" s="20" t="s">
        <v>16</v>
      </c>
      <c r="I64" s="20" t="str">
        <f>VLOOKUP(H64,Sheet4!A:B,2,)</f>
        <v>GLOSS BLACK</v>
      </c>
      <c r="J64" s="42">
        <v>0</v>
      </c>
    </row>
    <row r="65" s="6" customFormat="1" ht="30" customHeight="1" spans="1:10">
      <c r="A65" s="78"/>
      <c r="B65" s="19" t="s">
        <v>855</v>
      </c>
      <c r="C65" s="20" t="s">
        <v>841</v>
      </c>
      <c r="D65" s="20" t="s">
        <v>31</v>
      </c>
      <c r="E65" s="20" t="s">
        <v>208</v>
      </c>
      <c r="F65" s="20">
        <v>25</v>
      </c>
      <c r="G65" s="20">
        <v>66.5</v>
      </c>
      <c r="H65" s="20" t="s">
        <v>16</v>
      </c>
      <c r="I65" s="20" t="str">
        <f>VLOOKUP(H65,Sheet4!A:B,2,)</f>
        <v>GLOSS BLACK</v>
      </c>
      <c r="J65" s="42">
        <f>2-2+2-2+2-2+2-2+2+2-2-2+4-2+1</f>
        <v>3</v>
      </c>
    </row>
    <row r="66" s="6" customFormat="1" ht="30" customHeight="1" spans="1:10">
      <c r="A66" s="79"/>
      <c r="B66" s="23" t="s">
        <v>856</v>
      </c>
      <c r="C66" s="24" t="s">
        <v>841</v>
      </c>
      <c r="D66" s="24" t="s">
        <v>556</v>
      </c>
      <c r="E66" s="24" t="s">
        <v>208</v>
      </c>
      <c r="F66" s="24">
        <v>35</v>
      </c>
      <c r="G66" s="24">
        <v>66.5</v>
      </c>
      <c r="H66" s="24" t="s">
        <v>16</v>
      </c>
      <c r="I66" s="24" t="str">
        <f>VLOOKUP(H66,Sheet4!A:B,2,)</f>
        <v>GLOSS BLACK</v>
      </c>
      <c r="J66" s="43">
        <f>2-2+2-2+2-2+2-2+2+2-2-2+4-2+2</f>
        <v>4</v>
      </c>
    </row>
    <row r="67" s="6" customFormat="1" ht="21" customHeight="1" spans="1:10">
      <c r="A67" s="285"/>
      <c r="B67" s="53" t="s">
        <v>857</v>
      </c>
      <c r="C67" s="54" t="s">
        <v>841</v>
      </c>
      <c r="D67" s="54" t="s">
        <v>12</v>
      </c>
      <c r="E67" s="54" t="s">
        <v>13</v>
      </c>
      <c r="F67" s="54">
        <v>30</v>
      </c>
      <c r="G67" s="54">
        <v>72.56</v>
      </c>
      <c r="H67" s="54" t="s">
        <v>87</v>
      </c>
      <c r="I67" s="54" t="str">
        <f>VLOOKUP(H67,Sheet4!A:B,2,)</f>
        <v>Gunmetal Machine Face</v>
      </c>
      <c r="J67" s="55">
        <f>8-4-4+8-4-4+4+8-4-4-4+8-4-1+9-4-4+4-4+8-4-4-4+8+12-4-4-4-4-4+8-4+4-4-4+4-4+12-4-4-4+8-4-4+8+4-4</f>
        <v>8</v>
      </c>
    </row>
    <row r="68" s="6" customFormat="1" ht="21" customHeight="1" spans="1:10">
      <c r="A68" s="78"/>
      <c r="B68" s="19" t="s">
        <v>858</v>
      </c>
      <c r="C68" s="20" t="s">
        <v>841</v>
      </c>
      <c r="D68" s="20" t="s">
        <v>58</v>
      </c>
      <c r="E68" s="20" t="s">
        <v>208</v>
      </c>
      <c r="F68" s="20">
        <v>35</v>
      </c>
      <c r="G68" s="20">
        <v>66.56</v>
      </c>
      <c r="H68" s="20" t="s">
        <v>87</v>
      </c>
      <c r="I68" s="20" t="str">
        <f>VLOOKUP(H68,Sheet4!A:B,2,)</f>
        <v>Gunmetal Machine Face</v>
      </c>
      <c r="J68" s="21">
        <f>8-4-4+4-4+12-4-4-4+8-4-4+12-4</f>
        <v>8</v>
      </c>
    </row>
    <row r="69" s="6" customFormat="1" ht="21" customHeight="1" spans="1:10">
      <c r="A69" s="78"/>
      <c r="B69" s="19" t="s">
        <v>859</v>
      </c>
      <c r="C69" s="20" t="s">
        <v>841</v>
      </c>
      <c r="D69" s="20" t="s">
        <v>23</v>
      </c>
      <c r="E69" s="20" t="s">
        <v>13</v>
      </c>
      <c r="F69" s="20">
        <v>30</v>
      </c>
      <c r="G69" s="20">
        <v>72.56</v>
      </c>
      <c r="H69" s="20" t="s">
        <v>87</v>
      </c>
      <c r="I69" s="20" t="str">
        <f>VLOOKUP(H69,Sheet4!A:B,2,)</f>
        <v>Gunmetal Machine Face</v>
      </c>
      <c r="J69" s="21">
        <f>2-2+2-2+2-2+2+2-2-2+2-2</f>
        <v>0</v>
      </c>
    </row>
    <row r="70" s="6" customFormat="1" ht="21" customHeight="1" spans="1:10">
      <c r="A70" s="78"/>
      <c r="B70" s="19" t="s">
        <v>859</v>
      </c>
      <c r="C70" s="20" t="s">
        <v>841</v>
      </c>
      <c r="D70" s="20" t="s">
        <v>482</v>
      </c>
      <c r="E70" s="20" t="s">
        <v>13</v>
      </c>
      <c r="F70" s="20">
        <v>38</v>
      </c>
      <c r="G70" s="20">
        <v>72.56</v>
      </c>
      <c r="H70" s="20" t="s">
        <v>87</v>
      </c>
      <c r="I70" s="20" t="str">
        <f>VLOOKUP(H70,Sheet4!A:B,2,)</f>
        <v>Gunmetal Machine Face</v>
      </c>
      <c r="J70" s="21">
        <f>2-2+2-2+2-2+2+2-2-2+2-2</f>
        <v>0</v>
      </c>
    </row>
    <row r="71" s="6" customFormat="1" ht="21" customHeight="1" spans="1:10">
      <c r="A71" s="78"/>
      <c r="B71" s="19" t="s">
        <v>860</v>
      </c>
      <c r="C71" s="20" t="s">
        <v>841</v>
      </c>
      <c r="D71" s="20" t="s">
        <v>23</v>
      </c>
      <c r="E71" s="20" t="s">
        <v>208</v>
      </c>
      <c r="F71" s="20">
        <v>25</v>
      </c>
      <c r="G71" s="20">
        <v>66.56</v>
      </c>
      <c r="H71" s="20" t="s">
        <v>439</v>
      </c>
      <c r="I71" s="20" t="str">
        <f>VLOOKUP(H71,Sheet4!A:B,2,)</f>
        <v>Gunmetal Machine Face</v>
      </c>
      <c r="J71" s="42">
        <f>6-2-2</f>
        <v>2</v>
      </c>
    </row>
    <row r="72" s="6" customFormat="1" ht="21" customHeight="1" spans="1:10">
      <c r="A72" s="78"/>
      <c r="B72" s="19" t="s">
        <v>860</v>
      </c>
      <c r="C72" s="20" t="s">
        <v>841</v>
      </c>
      <c r="D72" s="20" t="s">
        <v>482</v>
      </c>
      <c r="E72" s="20" t="s">
        <v>208</v>
      </c>
      <c r="F72" s="20">
        <v>39</v>
      </c>
      <c r="G72" s="20">
        <v>66.56</v>
      </c>
      <c r="H72" s="20" t="s">
        <v>439</v>
      </c>
      <c r="I72" s="20" t="str">
        <f>VLOOKUP(H72,Sheet4!A:B,2,)</f>
        <v>Gunmetal Machine Face</v>
      </c>
      <c r="J72" s="42">
        <f>6-2-2</f>
        <v>2</v>
      </c>
    </row>
    <row r="73" s="6" customFormat="1" ht="21" customHeight="1" spans="1:10">
      <c r="A73" s="78"/>
      <c r="B73" s="19" t="s">
        <v>861</v>
      </c>
      <c r="C73" s="20" t="s">
        <v>841</v>
      </c>
      <c r="D73" s="20" t="s">
        <v>29</v>
      </c>
      <c r="E73" s="20" t="s">
        <v>208</v>
      </c>
      <c r="F73" s="20">
        <v>25</v>
      </c>
      <c r="G73" s="20">
        <v>66.56</v>
      </c>
      <c r="H73" s="20" t="s">
        <v>439</v>
      </c>
      <c r="I73" s="20" t="str">
        <f>VLOOKUP(H73,Sheet4!A:B,2,)</f>
        <v>Gunmetal Machine Face</v>
      </c>
      <c r="J73" s="42">
        <f>2-2+4-2-2+2-2+4-2-2+4-2-2+2+2-2</f>
        <v>2</v>
      </c>
    </row>
    <row r="74" s="6" customFormat="1" ht="21" customHeight="1" spans="1:10">
      <c r="A74" s="78"/>
      <c r="B74" s="19" t="s">
        <v>861</v>
      </c>
      <c r="C74" s="20" t="s">
        <v>841</v>
      </c>
      <c r="D74" s="20" t="s">
        <v>225</v>
      </c>
      <c r="E74" s="20" t="s">
        <v>208</v>
      </c>
      <c r="F74" s="20">
        <v>35</v>
      </c>
      <c r="G74" s="20">
        <v>66.56</v>
      </c>
      <c r="H74" s="20" t="s">
        <v>439</v>
      </c>
      <c r="I74" s="20" t="str">
        <f>VLOOKUP(H74,Sheet4!A:B,2,)</f>
        <v>Gunmetal Machine Face</v>
      </c>
      <c r="J74" s="42">
        <f>1-1+4-2-2+2-2+4-2-2+4-2-2+2+2-2</f>
        <v>2</v>
      </c>
    </row>
    <row r="75" s="6" customFormat="1" ht="21" customHeight="1" spans="1:10">
      <c r="A75" s="78"/>
      <c r="B75" s="19" t="s">
        <v>862</v>
      </c>
      <c r="C75" s="20" t="s">
        <v>841</v>
      </c>
      <c r="D75" s="20" t="s">
        <v>29</v>
      </c>
      <c r="E75" s="20" t="s">
        <v>13</v>
      </c>
      <c r="F75" s="20">
        <v>25</v>
      </c>
      <c r="G75" s="20">
        <v>72.56</v>
      </c>
      <c r="H75" s="20" t="s">
        <v>439</v>
      </c>
      <c r="I75" s="20" t="str">
        <f>VLOOKUP(H75,Sheet4!A:B,2,)</f>
        <v>Gunmetal Machine Face</v>
      </c>
      <c r="J75" s="42">
        <v>0</v>
      </c>
    </row>
    <row r="76" s="6" customFormat="1" ht="21" customHeight="1" spans="1:10">
      <c r="A76" s="79"/>
      <c r="B76" s="23" t="s">
        <v>862</v>
      </c>
      <c r="C76" s="24" t="s">
        <v>841</v>
      </c>
      <c r="D76" s="24" t="s">
        <v>225</v>
      </c>
      <c r="E76" s="24" t="s">
        <v>13</v>
      </c>
      <c r="F76" s="24">
        <v>30</v>
      </c>
      <c r="G76" s="24">
        <v>72.56</v>
      </c>
      <c r="H76" s="24" t="s">
        <v>439</v>
      </c>
      <c r="I76" s="24" t="str">
        <f>VLOOKUP(H76,Sheet4!A:B,2,)</f>
        <v>Gunmetal Machine Face</v>
      </c>
      <c r="J76" s="43">
        <v>0</v>
      </c>
    </row>
    <row r="77" s="6" customFormat="1" ht="24" customHeight="1" spans="1:10">
      <c r="A77" s="78"/>
      <c r="B77" s="134" t="s">
        <v>863</v>
      </c>
      <c r="C77" s="20" t="s">
        <v>841</v>
      </c>
      <c r="D77" s="142" t="s">
        <v>482</v>
      </c>
      <c r="E77" s="142" t="s">
        <v>208</v>
      </c>
      <c r="F77" s="142">
        <v>41</v>
      </c>
      <c r="G77" s="142">
        <v>66.45</v>
      </c>
      <c r="H77" s="142" t="s">
        <v>826</v>
      </c>
      <c r="I77" s="142" t="str">
        <f>VLOOKUP(H77,Sheet4!A:B,2,)</f>
        <v>Gunmetal Machine Face</v>
      </c>
      <c r="J77" s="42">
        <v>1</v>
      </c>
    </row>
    <row r="78" s="6" customFormat="1" ht="24" customHeight="1" spans="1:10">
      <c r="A78" s="78"/>
      <c r="B78" s="134" t="s">
        <v>864</v>
      </c>
      <c r="C78" s="20" t="s">
        <v>841</v>
      </c>
      <c r="D78" s="142" t="s">
        <v>23</v>
      </c>
      <c r="E78" s="142" t="s">
        <v>208</v>
      </c>
      <c r="F78" s="142">
        <v>25</v>
      </c>
      <c r="G78" s="142">
        <v>66.56</v>
      </c>
      <c r="H78" s="142" t="s">
        <v>439</v>
      </c>
      <c r="I78" s="142" t="str">
        <f>VLOOKUP(H78,Sheet4!A:B,2,)</f>
        <v>Gunmetal Machine Face</v>
      </c>
      <c r="J78" s="42">
        <f>2-2+2+2-2-2</f>
        <v>0</v>
      </c>
    </row>
    <row r="79" s="6" customFormat="1" ht="24" customHeight="1" spans="1:10">
      <c r="A79" s="78"/>
      <c r="B79" s="134" t="s">
        <v>864</v>
      </c>
      <c r="C79" s="20" t="s">
        <v>841</v>
      </c>
      <c r="D79" s="142" t="s">
        <v>482</v>
      </c>
      <c r="E79" s="142" t="s">
        <v>208</v>
      </c>
      <c r="F79" s="142">
        <v>39</v>
      </c>
      <c r="G79" s="142">
        <v>66.56</v>
      </c>
      <c r="H79" s="142" t="s">
        <v>439</v>
      </c>
      <c r="I79" s="142" t="str">
        <f>VLOOKUP(H79,Sheet4!A:B,2,)</f>
        <v>Gunmetal Machine Face</v>
      </c>
      <c r="J79" s="42">
        <f>2-2+2+2-2-2</f>
        <v>0</v>
      </c>
    </row>
    <row r="80" s="6" customFormat="1" ht="24" customHeight="1" spans="1:10">
      <c r="A80" s="78"/>
      <c r="B80" s="134" t="s">
        <v>865</v>
      </c>
      <c r="C80" s="20" t="s">
        <v>841</v>
      </c>
      <c r="D80" s="142" t="s">
        <v>29</v>
      </c>
      <c r="E80" s="142" t="s">
        <v>208</v>
      </c>
      <c r="F80" s="142">
        <v>25</v>
      </c>
      <c r="G80" s="142">
        <v>66.56</v>
      </c>
      <c r="H80" s="142" t="s">
        <v>439</v>
      </c>
      <c r="I80" s="142" t="str">
        <f>VLOOKUP(H80,Sheet4!A:B,2,)</f>
        <v>Gunmetal Machine Face</v>
      </c>
      <c r="J80" s="42">
        <f>2-2+2-2+2-2+2-2+2+2-2-2+2+4-2-2</f>
        <v>2</v>
      </c>
    </row>
    <row r="81" s="6" customFormat="1" ht="24" customHeight="1" spans="1:10">
      <c r="A81" s="79"/>
      <c r="B81" s="155" t="s">
        <v>865</v>
      </c>
      <c r="C81" s="24" t="s">
        <v>841</v>
      </c>
      <c r="D81" s="146" t="s">
        <v>225</v>
      </c>
      <c r="E81" s="146" t="s">
        <v>208</v>
      </c>
      <c r="F81" s="146">
        <v>39</v>
      </c>
      <c r="G81" s="146">
        <v>66.56</v>
      </c>
      <c r="H81" s="146" t="s">
        <v>439</v>
      </c>
      <c r="I81" s="146" t="str">
        <f>VLOOKUP(H81,Sheet4!A:B,2,)</f>
        <v>Gunmetal Machine Face</v>
      </c>
      <c r="J81" s="43">
        <f>2-2+2-2+2-2+2-2+2+2-2-1+1-2+2+4-2-2</f>
        <v>2</v>
      </c>
    </row>
    <row r="82" s="6" customFormat="1" ht="30" customHeight="1" spans="1:10">
      <c r="A82" s="78"/>
      <c r="B82" s="19" t="s">
        <v>866</v>
      </c>
      <c r="C82" s="65" t="s">
        <v>841</v>
      </c>
      <c r="D82" s="19" t="s">
        <v>23</v>
      </c>
      <c r="E82" s="19" t="s">
        <v>208</v>
      </c>
      <c r="F82" s="19">
        <v>25</v>
      </c>
      <c r="G82" s="19">
        <v>66.56</v>
      </c>
      <c r="H82" s="19" t="s">
        <v>87</v>
      </c>
      <c r="I82" s="19" t="str">
        <f>VLOOKUP(H82,Sheet4!A:B,2,)</f>
        <v>Gunmetal Machine Face</v>
      </c>
      <c r="J82" s="21">
        <f>2-2+2-2+2</f>
        <v>2</v>
      </c>
    </row>
    <row r="83" s="6" customFormat="1" ht="30" customHeight="1" spans="1:10">
      <c r="A83" s="78"/>
      <c r="B83" s="19" t="s">
        <v>866</v>
      </c>
      <c r="C83" s="65" t="s">
        <v>841</v>
      </c>
      <c r="D83" s="19" t="s">
        <v>482</v>
      </c>
      <c r="E83" s="19" t="s">
        <v>208</v>
      </c>
      <c r="F83" s="19">
        <v>35</v>
      </c>
      <c r="G83" s="19">
        <v>66.56</v>
      </c>
      <c r="H83" s="19" t="s">
        <v>87</v>
      </c>
      <c r="I83" s="19" t="str">
        <f>VLOOKUP(H83,Sheet4!A:B,2,)</f>
        <v>Gunmetal Machine Face</v>
      </c>
      <c r="J83" s="21">
        <f>2-2+2-2+2</f>
        <v>2</v>
      </c>
    </row>
    <row r="84" s="6" customFormat="1" ht="30" customHeight="1" spans="1:10">
      <c r="A84" s="78"/>
      <c r="B84" s="19" t="s">
        <v>867</v>
      </c>
      <c r="C84" s="65" t="s">
        <v>841</v>
      </c>
      <c r="D84" s="19" t="s">
        <v>29</v>
      </c>
      <c r="E84" s="19" t="s">
        <v>208</v>
      </c>
      <c r="F84" s="19">
        <v>25</v>
      </c>
      <c r="G84" s="19">
        <v>66.56</v>
      </c>
      <c r="H84" s="19" t="s">
        <v>87</v>
      </c>
      <c r="I84" s="19" t="str">
        <f>VLOOKUP(H84,Sheet4!A:B,2,)</f>
        <v>Gunmetal Machine Face</v>
      </c>
      <c r="J84" s="21">
        <f>2-2+2-2+2-2+2+2-2-2+2+2+1-2-2</f>
        <v>1</v>
      </c>
    </row>
    <row r="85" s="6" customFormat="1" ht="30" customHeight="1" spans="1:10">
      <c r="A85" s="79"/>
      <c r="B85" s="23" t="s">
        <v>867</v>
      </c>
      <c r="C85" s="68" t="s">
        <v>841</v>
      </c>
      <c r="D85" s="23" t="s">
        <v>225</v>
      </c>
      <c r="E85" s="23" t="s">
        <v>208</v>
      </c>
      <c r="F85" s="23">
        <v>35</v>
      </c>
      <c r="G85" s="23">
        <v>66.56</v>
      </c>
      <c r="H85" s="23" t="s">
        <v>87</v>
      </c>
      <c r="I85" s="23" t="str">
        <f>VLOOKUP(H85,Sheet4!A:B,2,)</f>
        <v>Gunmetal Machine Face</v>
      </c>
      <c r="J85" s="25">
        <f>2-2+2-2+2-2+2-2+4-2-2+2+2+1-2-2</f>
        <v>1</v>
      </c>
    </row>
    <row r="86" s="6" customFormat="1" ht="21" customHeight="1" spans="1:10">
      <c r="A86" s="78"/>
      <c r="B86" s="134" t="s">
        <v>868</v>
      </c>
      <c r="C86" s="65" t="s">
        <v>841</v>
      </c>
      <c r="D86" s="142" t="s">
        <v>12</v>
      </c>
      <c r="E86" s="142" t="s">
        <v>208</v>
      </c>
      <c r="F86" s="65">
        <v>25</v>
      </c>
      <c r="G86" s="65">
        <v>66.6</v>
      </c>
      <c r="H86" s="148" t="s">
        <v>87</v>
      </c>
      <c r="I86" s="148" t="str">
        <f>VLOOKUP(H86,Sheet4!A:B,2,)</f>
        <v>Gunmetal Machine Face</v>
      </c>
      <c r="J86" s="21">
        <f>4-4+8-4-4</f>
        <v>0</v>
      </c>
    </row>
    <row r="87" s="6" customFormat="1" ht="21" customHeight="1" spans="1:10">
      <c r="A87" s="78"/>
      <c r="B87" s="134" t="s">
        <v>869</v>
      </c>
      <c r="C87" s="65" t="s">
        <v>841</v>
      </c>
      <c r="D87" s="142" t="s">
        <v>12</v>
      </c>
      <c r="E87" s="142" t="s">
        <v>208</v>
      </c>
      <c r="F87" s="65">
        <v>30</v>
      </c>
      <c r="G87" s="65">
        <v>66.56</v>
      </c>
      <c r="H87" s="148" t="s">
        <v>21</v>
      </c>
      <c r="I87" s="148" t="str">
        <f>VLOOKUP(H87,Sheet4!A:B,2,)</f>
        <v>Black Machine Face</v>
      </c>
      <c r="J87" s="21">
        <v>8</v>
      </c>
    </row>
    <row r="88" s="6" customFormat="1" ht="21" customHeight="1" spans="1:10">
      <c r="A88" s="78"/>
      <c r="B88" s="134" t="s">
        <v>870</v>
      </c>
      <c r="C88" s="65" t="s">
        <v>841</v>
      </c>
      <c r="D88" s="142" t="s">
        <v>12</v>
      </c>
      <c r="E88" s="142" t="s">
        <v>13</v>
      </c>
      <c r="F88" s="65">
        <v>30</v>
      </c>
      <c r="G88" s="65">
        <v>72.56</v>
      </c>
      <c r="H88" s="148" t="s">
        <v>21</v>
      </c>
      <c r="I88" s="148" t="str">
        <f>VLOOKUP(H88,Sheet4!A:B,2,)</f>
        <v>Black Machine Face</v>
      </c>
      <c r="J88" s="21">
        <f>4-4</f>
        <v>0</v>
      </c>
    </row>
    <row r="89" s="6" customFormat="1" ht="21" customHeight="1" spans="1:10">
      <c r="A89" s="78"/>
      <c r="B89" s="134" t="s">
        <v>871</v>
      </c>
      <c r="C89" s="65" t="s">
        <v>841</v>
      </c>
      <c r="D89" s="142" t="s">
        <v>12</v>
      </c>
      <c r="E89" s="142" t="s">
        <v>13</v>
      </c>
      <c r="F89" s="65">
        <v>30</v>
      </c>
      <c r="G89" s="65">
        <v>72.56</v>
      </c>
      <c r="H89" s="148" t="s">
        <v>87</v>
      </c>
      <c r="I89" s="148" t="str">
        <f>VLOOKUP(H89,Sheet4!A:B,2,)</f>
        <v>Gunmetal Machine Face</v>
      </c>
      <c r="J89" s="21">
        <f>8-4-4+4-4+8-4-4+4+4</f>
        <v>8</v>
      </c>
    </row>
    <row r="90" s="6" customFormat="1" ht="21" customHeight="1" spans="1:10">
      <c r="A90" s="78"/>
      <c r="B90" s="134" t="s">
        <v>872</v>
      </c>
      <c r="C90" s="65" t="s">
        <v>841</v>
      </c>
      <c r="D90" s="142" t="s">
        <v>825</v>
      </c>
      <c r="E90" s="142" t="s">
        <v>208</v>
      </c>
      <c r="F90" s="65">
        <v>25</v>
      </c>
      <c r="G90" s="65">
        <v>66.5</v>
      </c>
      <c r="H90" s="148" t="s">
        <v>87</v>
      </c>
      <c r="I90" s="148" t="str">
        <f>VLOOKUP(H90,Sheet4!A:B,2,)</f>
        <v>Gunmetal Machine Face</v>
      </c>
      <c r="J90" s="21">
        <f>2-2+2-2+2+2-2-2</f>
        <v>0</v>
      </c>
    </row>
    <row r="91" s="6" customFormat="1" ht="21" customHeight="1" spans="1:10">
      <c r="A91" s="78"/>
      <c r="B91" s="134" t="s">
        <v>872</v>
      </c>
      <c r="C91" s="65" t="s">
        <v>841</v>
      </c>
      <c r="D91" s="142" t="s">
        <v>828</v>
      </c>
      <c r="E91" s="142" t="s">
        <v>208</v>
      </c>
      <c r="F91" s="65">
        <v>35</v>
      </c>
      <c r="G91" s="65">
        <v>66.5</v>
      </c>
      <c r="H91" s="148" t="s">
        <v>87</v>
      </c>
      <c r="I91" s="148" t="str">
        <f>VLOOKUP(H91,Sheet4!A:B,2,)</f>
        <v>Gunmetal Machine Face</v>
      </c>
      <c r="J91" s="21">
        <f>2-2+2-2+2+2-2-2</f>
        <v>0</v>
      </c>
    </row>
    <row r="92" s="6" customFormat="1" ht="21" customHeight="1" spans="1:10">
      <c r="A92" s="78"/>
      <c r="B92" s="134" t="s">
        <v>873</v>
      </c>
      <c r="C92" s="65" t="s">
        <v>841</v>
      </c>
      <c r="D92" s="142" t="s">
        <v>23</v>
      </c>
      <c r="E92" s="142" t="s">
        <v>13</v>
      </c>
      <c r="F92" s="65">
        <v>30</v>
      </c>
      <c r="G92" s="65">
        <v>72.56</v>
      </c>
      <c r="H92" s="148" t="s">
        <v>87</v>
      </c>
      <c r="I92" s="148" t="str">
        <f>VLOOKUP(H92,Sheet4!A:B,2,)</f>
        <v>Gunmetal Machine Face</v>
      </c>
      <c r="J92" s="21">
        <f>2-2+2+2-2+2-2-2+2-2+2-2</f>
        <v>0</v>
      </c>
    </row>
    <row r="93" s="6" customFormat="1" ht="21" customHeight="1" spans="1:10">
      <c r="A93" s="78"/>
      <c r="B93" s="134" t="s">
        <v>873</v>
      </c>
      <c r="C93" s="65" t="s">
        <v>841</v>
      </c>
      <c r="D93" s="142" t="s">
        <v>482</v>
      </c>
      <c r="E93" s="142" t="s">
        <v>13</v>
      </c>
      <c r="F93" s="65">
        <v>38</v>
      </c>
      <c r="G93" s="65">
        <v>72.56</v>
      </c>
      <c r="H93" s="148" t="s">
        <v>87</v>
      </c>
      <c r="I93" s="148" t="str">
        <f>VLOOKUP(H93,Sheet4!A:B,2,)</f>
        <v>Gunmetal Machine Face</v>
      </c>
      <c r="J93" s="21">
        <f>2-2+2+2-2+2-2-2+2-2+2-2</f>
        <v>0</v>
      </c>
    </row>
    <row r="94" s="6" customFormat="1" ht="21" customHeight="1" spans="1:10">
      <c r="A94" s="78"/>
      <c r="B94" s="134" t="s">
        <v>874</v>
      </c>
      <c r="C94" s="65" t="s">
        <v>841</v>
      </c>
      <c r="D94" s="142" t="s">
        <v>29</v>
      </c>
      <c r="E94" s="142" t="s">
        <v>208</v>
      </c>
      <c r="F94" s="65">
        <v>25</v>
      </c>
      <c r="G94" s="65">
        <v>66.56</v>
      </c>
      <c r="H94" s="148" t="s">
        <v>87</v>
      </c>
      <c r="I94" s="148" t="str">
        <f>VLOOKUP(H94,Sheet4!A:B,2,)</f>
        <v>Gunmetal Machine Face</v>
      </c>
      <c r="J94" s="21">
        <v>2</v>
      </c>
    </row>
    <row r="95" s="6" customFormat="1" ht="21" customHeight="1" spans="1:10">
      <c r="A95" s="78"/>
      <c r="B95" s="134" t="s">
        <v>874</v>
      </c>
      <c r="C95" s="65" t="s">
        <v>841</v>
      </c>
      <c r="D95" s="142" t="s">
        <v>225</v>
      </c>
      <c r="E95" s="142" t="s">
        <v>208</v>
      </c>
      <c r="F95" s="65">
        <v>35</v>
      </c>
      <c r="G95" s="65">
        <v>66.56</v>
      </c>
      <c r="H95" s="148" t="s">
        <v>87</v>
      </c>
      <c r="I95" s="148" t="str">
        <f>VLOOKUP(H95,Sheet4!A:B,2,)</f>
        <v>Gunmetal Machine Face</v>
      </c>
      <c r="J95" s="21">
        <v>2</v>
      </c>
    </row>
    <row r="96" s="6" customFormat="1" ht="21" customHeight="1" spans="1:10">
      <c r="A96" s="78"/>
      <c r="B96" s="134" t="s">
        <v>875</v>
      </c>
      <c r="C96" s="65" t="s">
        <v>841</v>
      </c>
      <c r="D96" s="142" t="s">
        <v>29</v>
      </c>
      <c r="E96" s="142" t="s">
        <v>13</v>
      </c>
      <c r="F96" s="65">
        <v>30</v>
      </c>
      <c r="G96" s="65">
        <v>72.56</v>
      </c>
      <c r="H96" s="148" t="s">
        <v>87</v>
      </c>
      <c r="I96" s="148" t="str">
        <f>VLOOKUP(H96,Sheet4!A:B,2,)</f>
        <v>Gunmetal Machine Face</v>
      </c>
      <c r="J96" s="21">
        <f>2-2</f>
        <v>0</v>
      </c>
    </row>
    <row r="97" s="6" customFormat="1" ht="21" customHeight="1" spans="1:10">
      <c r="A97" s="79"/>
      <c r="B97" s="155" t="s">
        <v>875</v>
      </c>
      <c r="C97" s="68" t="s">
        <v>841</v>
      </c>
      <c r="D97" s="146" t="s">
        <v>225</v>
      </c>
      <c r="E97" s="146" t="s">
        <v>13</v>
      </c>
      <c r="F97" s="68">
        <v>35</v>
      </c>
      <c r="G97" s="68">
        <v>72.56</v>
      </c>
      <c r="H97" s="156" t="s">
        <v>87</v>
      </c>
      <c r="I97" s="156" t="str">
        <f>VLOOKUP(H97,Sheet4!A:B,2,)</f>
        <v>Gunmetal Machine Face</v>
      </c>
      <c r="J97" s="25">
        <f>2-2</f>
        <v>0</v>
      </c>
    </row>
    <row r="98" s="197" customFormat="1" ht="28" customHeight="1" spans="1:10">
      <c r="A98" s="201" t="str">
        <f>_xlfn.DISPIMG("ID_AD4DCDF404C24695ABF9FA95573FE683",1)</f>
        <v>=DISPIMG("ID_AD4DCDF404C24695ABF9FA95573FE683",1)</v>
      </c>
      <c r="B98" s="19" t="s">
        <v>876</v>
      </c>
      <c r="C98" s="20" t="s">
        <v>841</v>
      </c>
      <c r="D98" s="20" t="s">
        <v>23</v>
      </c>
      <c r="E98" s="20" t="s">
        <v>208</v>
      </c>
      <c r="F98" s="20">
        <v>25</v>
      </c>
      <c r="G98" s="20">
        <v>66.56</v>
      </c>
      <c r="H98" s="20" t="s">
        <v>21</v>
      </c>
      <c r="I98" s="20" t="str">
        <f>VLOOKUP(H98,Sheet4!A:B,2,)</f>
        <v>Black Machine Face</v>
      </c>
      <c r="J98" s="21">
        <v>2</v>
      </c>
    </row>
    <row r="99" s="197" customFormat="1" ht="28" customHeight="1" spans="1:10">
      <c r="A99" s="201"/>
      <c r="B99" s="19" t="s">
        <v>876</v>
      </c>
      <c r="C99" s="20" t="s">
        <v>841</v>
      </c>
      <c r="D99" s="20" t="s">
        <v>482</v>
      </c>
      <c r="E99" s="20" t="s">
        <v>208</v>
      </c>
      <c r="F99" s="20">
        <v>35</v>
      </c>
      <c r="G99" s="20">
        <v>66.56</v>
      </c>
      <c r="H99" s="20" t="s">
        <v>21</v>
      </c>
      <c r="I99" s="20" t="str">
        <f>VLOOKUP(H99,Sheet4!A:B,2,)</f>
        <v>Black Machine Face</v>
      </c>
      <c r="J99" s="21">
        <v>2</v>
      </c>
    </row>
    <row r="100" s="197" customFormat="1" ht="28" customHeight="1" spans="1:10">
      <c r="A100" s="201"/>
      <c r="B100" s="141" t="s">
        <v>877</v>
      </c>
      <c r="C100" s="142" t="s">
        <v>841</v>
      </c>
      <c r="D100" s="142" t="s">
        <v>19</v>
      </c>
      <c r="E100" s="142" t="s">
        <v>208</v>
      </c>
      <c r="F100" s="142">
        <v>25</v>
      </c>
      <c r="G100" s="142">
        <v>66.56</v>
      </c>
      <c r="H100" s="142" t="s">
        <v>21</v>
      </c>
      <c r="I100" s="142" t="str">
        <f>VLOOKUP(H100,Sheet4!A:B,2,)</f>
        <v>Black Machine Face</v>
      </c>
      <c r="J100" s="294">
        <f>2-2+4-2-2+4-2+2-2-2+4+2-2-2-2</f>
        <v>0</v>
      </c>
    </row>
    <row r="101" s="197" customFormat="1" ht="28" customHeight="1" spans="1:10">
      <c r="A101" s="206"/>
      <c r="B101" s="23" t="s">
        <v>877</v>
      </c>
      <c r="C101" s="24" t="s">
        <v>841</v>
      </c>
      <c r="D101" s="24" t="s">
        <v>878</v>
      </c>
      <c r="E101" s="24" t="s">
        <v>208</v>
      </c>
      <c r="F101" s="24">
        <v>35</v>
      </c>
      <c r="G101" s="24">
        <v>66.56</v>
      </c>
      <c r="H101" s="24" t="s">
        <v>21</v>
      </c>
      <c r="I101" s="24" t="str">
        <f>VLOOKUP(H101,Sheet4!A:B,2,)</f>
        <v>Black Machine Face</v>
      </c>
      <c r="J101" s="25">
        <f>2-2+4-2-2+4-2+2-2-2+4+2-2-2-2</f>
        <v>0</v>
      </c>
    </row>
    <row r="102" s="197" customFormat="1" ht="20" customHeight="1" spans="1:10">
      <c r="A102" s="201"/>
      <c r="B102" s="19" t="s">
        <v>879</v>
      </c>
      <c r="C102" s="20" t="s">
        <v>841</v>
      </c>
      <c r="D102" s="20" t="s">
        <v>12</v>
      </c>
      <c r="E102" s="20" t="s">
        <v>13</v>
      </c>
      <c r="F102" s="20">
        <v>30</v>
      </c>
      <c r="G102" s="20">
        <v>72.56</v>
      </c>
      <c r="H102" s="20" t="s">
        <v>21</v>
      </c>
      <c r="I102" s="20" t="str">
        <f>VLOOKUP(H102,Sheet4!A:B,2,)</f>
        <v>Black Machine Face</v>
      </c>
      <c r="J102" s="21">
        <f>4-4+4+4-4-4+4+4-4-4+8-4-4+4+8</f>
        <v>12</v>
      </c>
    </row>
    <row r="103" s="197" customFormat="1" ht="20" customHeight="1" spans="1:10">
      <c r="A103" s="201"/>
      <c r="B103" s="19" t="s">
        <v>880</v>
      </c>
      <c r="C103" s="20" t="s">
        <v>841</v>
      </c>
      <c r="D103" s="20" t="s">
        <v>12</v>
      </c>
      <c r="E103" s="20" t="s">
        <v>208</v>
      </c>
      <c r="F103" s="20">
        <v>30</v>
      </c>
      <c r="G103" s="20">
        <v>66.56</v>
      </c>
      <c r="H103" s="20" t="s">
        <v>21</v>
      </c>
      <c r="I103" s="20" t="str">
        <f>VLOOKUP(H103,Sheet4!A:B,2,)</f>
        <v>Black Machine Face</v>
      </c>
      <c r="J103" s="21">
        <f>8-4-4+8-4-4+4-4+4-4+4-4</f>
        <v>0</v>
      </c>
    </row>
    <row r="104" s="197" customFormat="1" ht="20" customHeight="1" spans="1:10">
      <c r="A104" s="201"/>
      <c r="B104" s="19" t="s">
        <v>881</v>
      </c>
      <c r="C104" s="20" t="s">
        <v>841</v>
      </c>
      <c r="D104" s="20" t="s">
        <v>23</v>
      </c>
      <c r="E104" s="20" t="s">
        <v>208</v>
      </c>
      <c r="F104" s="20">
        <v>25</v>
      </c>
      <c r="G104" s="20">
        <v>66.56</v>
      </c>
      <c r="H104" s="20" t="s">
        <v>21</v>
      </c>
      <c r="I104" s="20" t="str">
        <f>VLOOKUP(H104,Sheet4!A:B,2,)</f>
        <v>Black Machine Face</v>
      </c>
      <c r="J104" s="21">
        <v>0</v>
      </c>
    </row>
    <row r="105" s="197" customFormat="1" ht="20" customHeight="1" spans="1:10">
      <c r="A105" s="201"/>
      <c r="B105" s="19" t="s">
        <v>881</v>
      </c>
      <c r="C105" s="20" t="s">
        <v>841</v>
      </c>
      <c r="D105" s="20" t="s">
        <v>482</v>
      </c>
      <c r="E105" s="20" t="s">
        <v>208</v>
      </c>
      <c r="F105" s="20">
        <v>35</v>
      </c>
      <c r="G105" s="20">
        <v>66.56</v>
      </c>
      <c r="H105" s="20" t="s">
        <v>21</v>
      </c>
      <c r="I105" s="20" t="str">
        <f>VLOOKUP(H105,Sheet4!A:B,2,)</f>
        <v>Black Machine Face</v>
      </c>
      <c r="J105" s="21">
        <v>0</v>
      </c>
    </row>
    <row r="106" s="197" customFormat="1" ht="20" customHeight="1" spans="1:10">
      <c r="A106" s="201"/>
      <c r="B106" s="19" t="s">
        <v>882</v>
      </c>
      <c r="C106" s="20" t="s">
        <v>841</v>
      </c>
      <c r="D106" s="20" t="s">
        <v>23</v>
      </c>
      <c r="E106" s="20" t="s">
        <v>13</v>
      </c>
      <c r="F106" s="20">
        <v>30</v>
      </c>
      <c r="G106" s="20">
        <v>72.56</v>
      </c>
      <c r="H106" s="20" t="s">
        <v>21</v>
      </c>
      <c r="I106" s="20" t="str">
        <f>VLOOKUP(H106,Sheet4!A:B,2,)</f>
        <v>Black Machine Face</v>
      </c>
      <c r="J106" s="21">
        <f>4-2-2+2+2-2-2+2-2</f>
        <v>0</v>
      </c>
    </row>
    <row r="107" s="197" customFormat="1" ht="20" customHeight="1" spans="1:10">
      <c r="A107" s="201"/>
      <c r="B107" s="19" t="s">
        <v>882</v>
      </c>
      <c r="C107" s="20" t="s">
        <v>841</v>
      </c>
      <c r="D107" s="20" t="s">
        <v>482</v>
      </c>
      <c r="E107" s="20" t="s">
        <v>13</v>
      </c>
      <c r="F107" s="20">
        <v>38</v>
      </c>
      <c r="G107" s="20">
        <v>72.56</v>
      </c>
      <c r="H107" s="20" t="s">
        <v>21</v>
      </c>
      <c r="I107" s="20" t="str">
        <f>VLOOKUP(H107,Sheet4!A:B,2,)</f>
        <v>Black Machine Face</v>
      </c>
      <c r="J107" s="21">
        <f>4-2-2+2+2-2-2+2-2</f>
        <v>0</v>
      </c>
    </row>
    <row r="108" s="197" customFormat="1" ht="20" customHeight="1" spans="1:10">
      <c r="A108" s="201"/>
      <c r="B108" s="19" t="s">
        <v>883</v>
      </c>
      <c r="C108" s="20" t="s">
        <v>841</v>
      </c>
      <c r="D108" s="20" t="s">
        <v>29</v>
      </c>
      <c r="E108" s="20" t="s">
        <v>208</v>
      </c>
      <c r="F108" s="20">
        <v>25</v>
      </c>
      <c r="G108" s="20">
        <v>66.56</v>
      </c>
      <c r="H108" s="20" t="s">
        <v>21</v>
      </c>
      <c r="I108" s="20" t="str">
        <f>VLOOKUP(H108,Sheet4!A:B,2,)</f>
        <v>Black Machine Face</v>
      </c>
      <c r="J108" s="21">
        <f>1+2-2+1-2+4-2+2-2-2+4-2-2+4-2-2+2-2+2-2</f>
        <v>0</v>
      </c>
    </row>
    <row r="109" s="197" customFormat="1" ht="20" customHeight="1" spans="1:10">
      <c r="A109" s="201"/>
      <c r="B109" s="19" t="s">
        <v>883</v>
      </c>
      <c r="C109" s="20" t="s">
        <v>841</v>
      </c>
      <c r="D109" s="20" t="s">
        <v>225</v>
      </c>
      <c r="E109" s="20" t="s">
        <v>208</v>
      </c>
      <c r="F109" s="20">
        <v>35</v>
      </c>
      <c r="G109" s="20">
        <v>66.56</v>
      </c>
      <c r="H109" s="20" t="s">
        <v>21</v>
      </c>
      <c r="I109" s="20" t="str">
        <f>VLOOKUP(H109,Sheet4!A:B,2,)</f>
        <v>Black Machine Face</v>
      </c>
      <c r="J109" s="21">
        <f>1+2-2+1-2+4-2+2-2-2+4-2-2+4-2-2+2-2+2-2</f>
        <v>0</v>
      </c>
    </row>
    <row r="110" s="197" customFormat="1" ht="20" customHeight="1" spans="1:10">
      <c r="A110" s="201"/>
      <c r="B110" s="19" t="s">
        <v>884</v>
      </c>
      <c r="C110" s="20" t="s">
        <v>841</v>
      </c>
      <c r="D110" s="20" t="s">
        <v>29</v>
      </c>
      <c r="E110" s="20" t="s">
        <v>13</v>
      </c>
      <c r="F110" s="20">
        <v>30</v>
      </c>
      <c r="G110" s="20">
        <v>72.56</v>
      </c>
      <c r="H110" s="20" t="s">
        <v>21</v>
      </c>
      <c r="I110" s="20" t="str">
        <f>VLOOKUP(H110,Sheet4!A:B,2,)</f>
        <v>Black Machine Face</v>
      </c>
      <c r="J110" s="21">
        <f>2+2-2+2-2+2-2-2</f>
        <v>0</v>
      </c>
    </row>
    <row r="111" s="197" customFormat="1" ht="20" customHeight="1" spans="1:10">
      <c r="A111" s="201"/>
      <c r="B111" s="19" t="s">
        <v>884</v>
      </c>
      <c r="C111" s="20" t="s">
        <v>841</v>
      </c>
      <c r="D111" s="20" t="s">
        <v>225</v>
      </c>
      <c r="E111" s="20" t="s">
        <v>13</v>
      </c>
      <c r="F111" s="20">
        <v>38</v>
      </c>
      <c r="G111" s="20">
        <v>72.56</v>
      </c>
      <c r="H111" s="20" t="s">
        <v>21</v>
      </c>
      <c r="I111" s="20" t="str">
        <f>VLOOKUP(H111,Sheet4!A:B,2,)</f>
        <v>Black Machine Face</v>
      </c>
      <c r="J111" s="21">
        <f>2+2-2+2-2+2-2-2</f>
        <v>0</v>
      </c>
    </row>
    <row r="112" s="197" customFormat="1" ht="20" customHeight="1" spans="1:10">
      <c r="A112" s="201"/>
      <c r="B112" s="19" t="s">
        <v>885</v>
      </c>
      <c r="C112" s="20" t="s">
        <v>841</v>
      </c>
      <c r="D112" s="20" t="s">
        <v>31</v>
      </c>
      <c r="E112" s="20" t="s">
        <v>208</v>
      </c>
      <c r="F112" s="20">
        <v>25</v>
      </c>
      <c r="G112" s="20">
        <v>66.56</v>
      </c>
      <c r="H112" s="20" t="s">
        <v>21</v>
      </c>
      <c r="I112" s="20" t="str">
        <f>VLOOKUP(H112,Sheet4!A:B,2,)</f>
        <v>Black Machine Face</v>
      </c>
      <c r="J112" s="21">
        <f>2-2+4-2+2-2-2+4-4</f>
        <v>0</v>
      </c>
    </row>
    <row r="113" s="197" customFormat="1" ht="20" customHeight="1" spans="1:10">
      <c r="A113" s="206"/>
      <c r="B113" s="23" t="s">
        <v>885</v>
      </c>
      <c r="C113" s="24" t="s">
        <v>841</v>
      </c>
      <c r="D113" s="24" t="s">
        <v>556</v>
      </c>
      <c r="E113" s="24" t="s">
        <v>208</v>
      </c>
      <c r="F113" s="24">
        <v>35</v>
      </c>
      <c r="G113" s="24">
        <v>66.56</v>
      </c>
      <c r="H113" s="24" t="s">
        <v>21</v>
      </c>
      <c r="I113" s="24" t="str">
        <f>VLOOKUP(H113,Sheet4!A:B,2,)</f>
        <v>Black Machine Face</v>
      </c>
      <c r="J113" s="25">
        <f>2-2+4-2+2-2-2+4-4</f>
        <v>0</v>
      </c>
    </row>
    <row r="114" s="6" customFormat="1" ht="19" customHeight="1" spans="1:10">
      <c r="A114" s="78"/>
      <c r="B114" s="134" t="s">
        <v>886</v>
      </c>
      <c r="C114" s="148" t="s">
        <v>841</v>
      </c>
      <c r="D114" s="142" t="s">
        <v>12</v>
      </c>
      <c r="E114" s="142" t="s">
        <v>208</v>
      </c>
      <c r="F114" s="142">
        <v>30</v>
      </c>
      <c r="G114" s="142">
        <v>66.56</v>
      </c>
      <c r="H114" s="148" t="s">
        <v>21</v>
      </c>
      <c r="I114" s="148" t="str">
        <f>VLOOKUP(H114,Sheet4!A:B,2,)</f>
        <v>Black Machine Face</v>
      </c>
      <c r="J114" s="42">
        <f>8-4-4+4-4</f>
        <v>0</v>
      </c>
    </row>
    <row r="115" s="6" customFormat="1" ht="19" customHeight="1" spans="1:10">
      <c r="A115" s="78"/>
      <c r="B115" s="134" t="s">
        <v>887</v>
      </c>
      <c r="C115" s="148" t="s">
        <v>841</v>
      </c>
      <c r="D115" s="142" t="s">
        <v>12</v>
      </c>
      <c r="E115" s="142" t="s">
        <v>208</v>
      </c>
      <c r="F115" s="142">
        <v>30</v>
      </c>
      <c r="G115" s="142">
        <v>66.56</v>
      </c>
      <c r="H115" s="148" t="s">
        <v>87</v>
      </c>
      <c r="I115" s="148" t="str">
        <f>VLOOKUP(H115,Sheet4!A:B,2,)</f>
        <v>Gunmetal Machine Face</v>
      </c>
      <c r="J115" s="42">
        <f>8-4-4+8-4+8-4-4-4+12-4-4-4+12</f>
        <v>12</v>
      </c>
    </row>
    <row r="116" s="6" customFormat="1" ht="19" customHeight="1" spans="1:10">
      <c r="A116" s="78"/>
      <c r="B116" s="134" t="s">
        <v>888</v>
      </c>
      <c r="C116" s="148" t="s">
        <v>841</v>
      </c>
      <c r="D116" s="142" t="s">
        <v>12</v>
      </c>
      <c r="E116" s="142" t="s">
        <v>13</v>
      </c>
      <c r="F116" s="142">
        <v>30</v>
      </c>
      <c r="G116" s="142">
        <v>72.56</v>
      </c>
      <c r="H116" s="148" t="s">
        <v>87</v>
      </c>
      <c r="I116" s="148" t="str">
        <f>VLOOKUP(H116,Sheet4!A:B,2,)</f>
        <v>Gunmetal Machine Face</v>
      </c>
      <c r="J116" s="42">
        <f>4-4+8-4-4+8-4-4+4-4+8-4+4-4-4+8-4-4+4+8</f>
        <v>12</v>
      </c>
    </row>
    <row r="117" s="6" customFormat="1" ht="19" customHeight="1" spans="1:10">
      <c r="A117" s="78"/>
      <c r="B117" s="134" t="s">
        <v>889</v>
      </c>
      <c r="C117" s="148" t="s">
        <v>841</v>
      </c>
      <c r="D117" s="142" t="s">
        <v>12</v>
      </c>
      <c r="E117" s="142" t="s">
        <v>13</v>
      </c>
      <c r="F117" s="142">
        <v>30</v>
      </c>
      <c r="G117" s="142">
        <v>72.56</v>
      </c>
      <c r="H117" s="148" t="s">
        <v>21</v>
      </c>
      <c r="I117" s="148" t="str">
        <f>VLOOKUP(H117,Sheet4!A:B,2,)</f>
        <v>Black Machine Face</v>
      </c>
      <c r="J117" s="42">
        <f>8-4-4</f>
        <v>0</v>
      </c>
    </row>
    <row r="118" s="89" customFormat="1" ht="19" customHeight="1" spans="1:10">
      <c r="A118" s="78"/>
      <c r="B118" s="19" t="s">
        <v>890</v>
      </c>
      <c r="C118" s="20" t="s">
        <v>841</v>
      </c>
      <c r="D118" s="20" t="s">
        <v>23</v>
      </c>
      <c r="E118" s="20" t="s">
        <v>208</v>
      </c>
      <c r="F118" s="20">
        <v>25</v>
      </c>
      <c r="G118" s="20">
        <v>66.5</v>
      </c>
      <c r="H118" s="20" t="s">
        <v>87</v>
      </c>
      <c r="I118" s="20" t="str">
        <f>VLOOKUP(H118,Sheet4!A:B,2,)</f>
        <v>Gunmetal Machine Face</v>
      </c>
      <c r="J118" s="42">
        <f>3-2+2-2+2-2+4-2-2+2-2+2-2+4-2-2+6-2+6-2-2-2-2-2</f>
        <v>1</v>
      </c>
    </row>
    <row r="119" s="6" customFormat="1" ht="19" customHeight="1" spans="1:10">
      <c r="A119" s="78"/>
      <c r="B119" s="19" t="s">
        <v>890</v>
      </c>
      <c r="C119" s="20" t="s">
        <v>841</v>
      </c>
      <c r="D119" s="20" t="s">
        <v>482</v>
      </c>
      <c r="E119" s="20" t="s">
        <v>208</v>
      </c>
      <c r="F119" s="20" t="s">
        <v>155</v>
      </c>
      <c r="G119" s="20">
        <v>66.5</v>
      </c>
      <c r="H119" s="20" t="s">
        <v>87</v>
      </c>
      <c r="I119" s="20" t="str">
        <f>VLOOKUP(H119,Sheet4!A:B,2,)</f>
        <v>Gunmetal Machine Face</v>
      </c>
      <c r="J119" s="42">
        <f>2-2+2-2+2-2+4-2-2+2-2+2-2+4-2-2+6-2+6-2-2-2-2-2</f>
        <v>0</v>
      </c>
    </row>
    <row r="120" s="6" customFormat="1" ht="19" customHeight="1" spans="1:10">
      <c r="A120" s="78"/>
      <c r="B120" s="19" t="s">
        <v>891</v>
      </c>
      <c r="C120" s="20" t="s">
        <v>841</v>
      </c>
      <c r="D120" s="20" t="s">
        <v>23</v>
      </c>
      <c r="E120" s="20" t="s">
        <v>208</v>
      </c>
      <c r="F120" s="20">
        <v>25</v>
      </c>
      <c r="G120" s="20">
        <v>66.5</v>
      </c>
      <c r="H120" s="20" t="s">
        <v>21</v>
      </c>
      <c r="I120" s="20" t="str">
        <f>VLOOKUP(H120,Sheet4!A:B,2,)</f>
        <v>Black Machine Face</v>
      </c>
      <c r="J120" s="42">
        <v>0</v>
      </c>
    </row>
    <row r="121" s="6" customFormat="1" ht="19" customHeight="1" spans="1:10">
      <c r="A121" s="78"/>
      <c r="B121" s="19" t="s">
        <v>891</v>
      </c>
      <c r="C121" s="20" t="s">
        <v>841</v>
      </c>
      <c r="D121" s="20" t="s">
        <v>482</v>
      </c>
      <c r="E121" s="20" t="s">
        <v>208</v>
      </c>
      <c r="F121" s="20">
        <v>35</v>
      </c>
      <c r="G121" s="20">
        <v>66.5</v>
      </c>
      <c r="H121" s="20" t="s">
        <v>21</v>
      </c>
      <c r="I121" s="20" t="str">
        <f>VLOOKUP(H121,Sheet4!A:B,2,)</f>
        <v>Black Machine Face</v>
      </c>
      <c r="J121" s="42">
        <v>0</v>
      </c>
    </row>
    <row r="122" s="6" customFormat="1" ht="19" customHeight="1" spans="1:10">
      <c r="A122" s="78"/>
      <c r="B122" s="19" t="s">
        <v>892</v>
      </c>
      <c r="C122" s="20" t="s">
        <v>841</v>
      </c>
      <c r="D122" s="20" t="s">
        <v>23</v>
      </c>
      <c r="E122" s="20" t="s">
        <v>208</v>
      </c>
      <c r="F122" s="20">
        <v>25</v>
      </c>
      <c r="G122" s="20">
        <v>66.5</v>
      </c>
      <c r="H122" s="20" t="s">
        <v>16</v>
      </c>
      <c r="I122" s="20" t="str">
        <f>VLOOKUP(H122,Sheet4!A:B,2,)</f>
        <v>GLOSS BLACK</v>
      </c>
      <c r="J122" s="42">
        <f>4-2-2+2-2</f>
        <v>0</v>
      </c>
    </row>
    <row r="123" s="6" customFormat="1" ht="19" customHeight="1" spans="1:10">
      <c r="A123" s="78"/>
      <c r="B123" s="19" t="s">
        <v>892</v>
      </c>
      <c r="C123" s="20" t="s">
        <v>841</v>
      </c>
      <c r="D123" s="20" t="s">
        <v>482</v>
      </c>
      <c r="E123" s="20" t="s">
        <v>208</v>
      </c>
      <c r="F123" s="20">
        <v>30</v>
      </c>
      <c r="G123" s="20">
        <v>66.5</v>
      </c>
      <c r="H123" s="20" t="s">
        <v>16</v>
      </c>
      <c r="I123" s="20" t="str">
        <f>VLOOKUP(H123,Sheet4!A:B,2,)</f>
        <v>GLOSS BLACK</v>
      </c>
      <c r="J123" s="42">
        <f>4-2-2+2-2</f>
        <v>0</v>
      </c>
    </row>
    <row r="124" s="6" customFormat="1" ht="19" customHeight="1" spans="1:10">
      <c r="A124" s="78"/>
      <c r="B124" s="19" t="s">
        <v>893</v>
      </c>
      <c r="C124" s="20" t="s">
        <v>841</v>
      </c>
      <c r="D124" s="20" t="s">
        <v>23</v>
      </c>
      <c r="E124" s="20" t="s">
        <v>13</v>
      </c>
      <c r="F124" s="20">
        <v>30</v>
      </c>
      <c r="G124" s="20">
        <v>72.56</v>
      </c>
      <c r="H124" s="20" t="s">
        <v>87</v>
      </c>
      <c r="I124" s="20" t="str">
        <f>VLOOKUP(H124,Sheet4!A:B,2,)</f>
        <v>Gunmetal Machine Face</v>
      </c>
      <c r="J124" s="42">
        <v>0</v>
      </c>
    </row>
    <row r="125" s="6" customFormat="1" ht="19" customHeight="1" spans="1:10">
      <c r="A125" s="78"/>
      <c r="B125" s="19" t="s">
        <v>893</v>
      </c>
      <c r="C125" s="20" t="s">
        <v>841</v>
      </c>
      <c r="D125" s="20" t="s">
        <v>482</v>
      </c>
      <c r="E125" s="20" t="s">
        <v>13</v>
      </c>
      <c r="F125" s="20">
        <v>38</v>
      </c>
      <c r="G125" s="20">
        <v>72.56</v>
      </c>
      <c r="H125" s="20" t="s">
        <v>87</v>
      </c>
      <c r="I125" s="20" t="str">
        <f>VLOOKUP(H125,Sheet4!A:B,2,)</f>
        <v>Gunmetal Machine Face</v>
      </c>
      <c r="J125" s="42">
        <v>0</v>
      </c>
    </row>
    <row r="126" s="6" customFormat="1" ht="19" customHeight="1" spans="1:10">
      <c r="A126" s="78"/>
      <c r="B126" s="19" t="s">
        <v>894</v>
      </c>
      <c r="C126" s="20" t="s">
        <v>841</v>
      </c>
      <c r="D126" s="20" t="s">
        <v>23</v>
      </c>
      <c r="E126" s="20" t="s">
        <v>13</v>
      </c>
      <c r="F126" s="20">
        <v>30</v>
      </c>
      <c r="G126" s="20">
        <v>72.56</v>
      </c>
      <c r="H126" s="20" t="s">
        <v>16</v>
      </c>
      <c r="I126" s="20" t="str">
        <f>VLOOKUP(H126,Sheet4!A:B,2,)</f>
        <v>GLOSS BLACK</v>
      </c>
      <c r="J126" s="42">
        <v>0</v>
      </c>
    </row>
    <row r="127" s="6" customFormat="1" ht="19" customHeight="1" spans="1:10">
      <c r="A127" s="78"/>
      <c r="B127" s="19" t="s">
        <v>894</v>
      </c>
      <c r="C127" s="20" t="s">
        <v>841</v>
      </c>
      <c r="D127" s="20" t="s">
        <v>482</v>
      </c>
      <c r="E127" s="20" t="s">
        <v>13</v>
      </c>
      <c r="F127" s="20">
        <v>38</v>
      </c>
      <c r="G127" s="20">
        <v>72.56</v>
      </c>
      <c r="H127" s="20" t="s">
        <v>16</v>
      </c>
      <c r="I127" s="20" t="str">
        <f>VLOOKUP(H127,Sheet4!A:B,2,)</f>
        <v>GLOSS BLACK</v>
      </c>
      <c r="J127" s="42">
        <v>0</v>
      </c>
    </row>
    <row r="128" s="6" customFormat="1" ht="19" customHeight="1" spans="1:10">
      <c r="A128" s="78"/>
      <c r="B128" s="19" t="s">
        <v>895</v>
      </c>
      <c r="C128" s="20" t="s">
        <v>841</v>
      </c>
      <c r="D128" s="20" t="s">
        <v>23</v>
      </c>
      <c r="E128" s="20" t="s">
        <v>13</v>
      </c>
      <c r="F128" s="20">
        <v>30</v>
      </c>
      <c r="G128" s="20">
        <v>72.56</v>
      </c>
      <c r="H128" s="20" t="s">
        <v>21</v>
      </c>
      <c r="I128" s="20" t="str">
        <f>VLOOKUP(H128,Sheet4!A:B,2,)</f>
        <v>Black Machine Face</v>
      </c>
      <c r="J128" s="42">
        <f>2+4-2-2-2</f>
        <v>0</v>
      </c>
    </row>
    <row r="129" s="6" customFormat="1" ht="19" customHeight="1" spans="1:10">
      <c r="A129" s="78"/>
      <c r="B129" s="19" t="s">
        <v>895</v>
      </c>
      <c r="C129" s="20" t="s">
        <v>841</v>
      </c>
      <c r="D129" s="20" t="s">
        <v>482</v>
      </c>
      <c r="E129" s="20" t="s">
        <v>13</v>
      </c>
      <c r="F129" s="20">
        <v>38</v>
      </c>
      <c r="G129" s="20">
        <v>72.56</v>
      </c>
      <c r="H129" s="20" t="s">
        <v>21</v>
      </c>
      <c r="I129" s="20" t="str">
        <f>VLOOKUP(H129,Sheet4!A:B,2,)</f>
        <v>Black Machine Face</v>
      </c>
      <c r="J129" s="42">
        <f>2+4-2-2-2</f>
        <v>0</v>
      </c>
    </row>
    <row r="130" s="6" customFormat="1" ht="19" customHeight="1" spans="1:10">
      <c r="A130" s="78"/>
      <c r="B130" s="19" t="s">
        <v>896</v>
      </c>
      <c r="C130" s="20" t="s">
        <v>841</v>
      </c>
      <c r="D130" s="20" t="s">
        <v>29</v>
      </c>
      <c r="E130" s="20" t="s">
        <v>208</v>
      </c>
      <c r="F130" s="20">
        <v>25</v>
      </c>
      <c r="G130" s="20">
        <v>66.5</v>
      </c>
      <c r="H130" s="20" t="s">
        <v>16</v>
      </c>
      <c r="I130" s="20" t="str">
        <f>VLOOKUP(H130,Sheet4!A:B,2,)</f>
        <v>GLOSS BLACK</v>
      </c>
      <c r="J130" s="42">
        <v>0</v>
      </c>
    </row>
    <row r="131" s="6" customFormat="1" ht="19" customHeight="1" spans="1:10">
      <c r="A131" s="78"/>
      <c r="B131" s="19" t="s">
        <v>896</v>
      </c>
      <c r="C131" s="20" t="s">
        <v>841</v>
      </c>
      <c r="D131" s="20" t="s">
        <v>225</v>
      </c>
      <c r="E131" s="20" t="s">
        <v>208</v>
      </c>
      <c r="F131" s="20">
        <v>30</v>
      </c>
      <c r="G131" s="20">
        <v>66.5</v>
      </c>
      <c r="H131" s="20" t="s">
        <v>16</v>
      </c>
      <c r="I131" s="20" t="str">
        <f>VLOOKUP(H131,Sheet4!A:B,2,)</f>
        <v>GLOSS BLACK</v>
      </c>
      <c r="J131" s="42">
        <v>0</v>
      </c>
    </row>
    <row r="132" s="6" customFormat="1" ht="19" customHeight="1" spans="1:10">
      <c r="A132" s="78"/>
      <c r="B132" s="19" t="s">
        <v>897</v>
      </c>
      <c r="C132" s="20" t="s">
        <v>841</v>
      </c>
      <c r="D132" s="20" t="s">
        <v>29</v>
      </c>
      <c r="E132" s="20" t="s">
        <v>208</v>
      </c>
      <c r="F132" s="20">
        <v>25</v>
      </c>
      <c r="G132" s="20">
        <v>66.5</v>
      </c>
      <c r="H132" s="20" t="s">
        <v>21</v>
      </c>
      <c r="I132" s="20" t="str">
        <f>VLOOKUP(H132,Sheet4!A:B,2,)</f>
        <v>Black Machine Face</v>
      </c>
      <c r="J132" s="42">
        <f>8-4-2</f>
        <v>2</v>
      </c>
    </row>
    <row r="133" s="6" customFormat="1" ht="19" customHeight="1" spans="1:10">
      <c r="A133" s="78"/>
      <c r="B133" s="19" t="s">
        <v>897</v>
      </c>
      <c r="C133" s="20" t="s">
        <v>841</v>
      </c>
      <c r="D133" s="20" t="s">
        <v>225</v>
      </c>
      <c r="E133" s="20" t="s">
        <v>208</v>
      </c>
      <c r="F133" s="20">
        <v>35</v>
      </c>
      <c r="G133" s="20">
        <v>66.5</v>
      </c>
      <c r="H133" s="20" t="s">
        <v>21</v>
      </c>
      <c r="I133" s="20" t="str">
        <f>VLOOKUP(H133,Sheet4!A:B,2,)</f>
        <v>Black Machine Face</v>
      </c>
      <c r="J133" s="42">
        <f>8-4-2</f>
        <v>2</v>
      </c>
    </row>
    <row r="134" s="6" customFormat="1" ht="19" customHeight="1" spans="1:10">
      <c r="A134" s="78"/>
      <c r="B134" s="19" t="s">
        <v>898</v>
      </c>
      <c r="C134" s="20" t="s">
        <v>841</v>
      </c>
      <c r="D134" s="20" t="s">
        <v>29</v>
      </c>
      <c r="E134" s="20" t="s">
        <v>208</v>
      </c>
      <c r="F134" s="20">
        <v>25</v>
      </c>
      <c r="G134" s="20">
        <v>66.5</v>
      </c>
      <c r="H134" s="20" t="s">
        <v>87</v>
      </c>
      <c r="I134" s="20" t="str">
        <f>VLOOKUP(H134,Sheet4!A:B,2,)</f>
        <v>Gunmetal Machine Face</v>
      </c>
      <c r="J134" s="42">
        <f>2-2+2-2+2-2+2-2+4-2-1+1-2+4-2+4-2-2+4-2+2-2-2+2-2+8-2+2-2+2-2-2+4-2-2+6-2-2+4-2+2-2-2-2+6-4-2+10-2-2-2-2-4+6-2</f>
        <v>8</v>
      </c>
    </row>
    <row r="135" s="6" customFormat="1" ht="19" customHeight="1" spans="1:10">
      <c r="A135" s="78"/>
      <c r="B135" s="19" t="s">
        <v>898</v>
      </c>
      <c r="C135" s="20" t="s">
        <v>841</v>
      </c>
      <c r="D135" s="20" t="s">
        <v>225</v>
      </c>
      <c r="E135" s="20" t="s">
        <v>208</v>
      </c>
      <c r="F135" s="20">
        <v>35</v>
      </c>
      <c r="G135" s="20">
        <v>66.5</v>
      </c>
      <c r="H135" s="20" t="s">
        <v>87</v>
      </c>
      <c r="I135" s="20" t="str">
        <f>VLOOKUP(H135,Sheet4!A:B,2,)</f>
        <v>Gunmetal Machine Face</v>
      </c>
      <c r="J135" s="42">
        <f>2-2+2-2+2-2+2-2+4-2-2+4-2+4-2-2+4-2-2-2+2-2+8-2+2-2-6+2-2+1+4-1-2-2+6-2-2+4-2+2-2+1-1-2-2+6-4-2+10-2-2-2-2-2+6-2</f>
        <v>4</v>
      </c>
    </row>
    <row r="136" s="6" customFormat="1" ht="19" customHeight="1" spans="1:10">
      <c r="A136" s="78"/>
      <c r="B136" s="19" t="s">
        <v>899</v>
      </c>
      <c r="C136" s="20" t="s">
        <v>841</v>
      </c>
      <c r="D136" s="20" t="s">
        <v>29</v>
      </c>
      <c r="E136" s="20" t="s">
        <v>13</v>
      </c>
      <c r="F136" s="20">
        <v>30</v>
      </c>
      <c r="G136" s="20">
        <v>72.56</v>
      </c>
      <c r="H136" s="20" t="s">
        <v>36</v>
      </c>
      <c r="I136" s="20" t="str">
        <f>VLOOKUP(H136,Sheet4!A:B,2,)</f>
        <v>Black Machine Face</v>
      </c>
      <c r="J136" s="42">
        <f>2-2+4-2-2+2-2</f>
        <v>0</v>
      </c>
    </row>
    <row r="137" s="6" customFormat="1" ht="19" customHeight="1" spans="1:10">
      <c r="A137" s="78"/>
      <c r="B137" s="19" t="s">
        <v>899</v>
      </c>
      <c r="C137" s="20" t="s">
        <v>841</v>
      </c>
      <c r="D137" s="20" t="s">
        <v>225</v>
      </c>
      <c r="E137" s="20" t="s">
        <v>13</v>
      </c>
      <c r="F137" s="20">
        <v>38</v>
      </c>
      <c r="G137" s="20">
        <v>72.56</v>
      </c>
      <c r="H137" s="20" t="s">
        <v>36</v>
      </c>
      <c r="I137" s="20" t="str">
        <f>VLOOKUP(H137,Sheet4!A:B,2,)</f>
        <v>Black Machine Face</v>
      </c>
      <c r="J137" s="42">
        <f>2-2+4-2-2+2-2</f>
        <v>0</v>
      </c>
    </row>
    <row r="138" s="6" customFormat="1" ht="19" customHeight="1" spans="1:10">
      <c r="A138" s="78"/>
      <c r="B138" s="19" t="s">
        <v>900</v>
      </c>
      <c r="C138" s="20" t="s">
        <v>841</v>
      </c>
      <c r="D138" s="20" t="s">
        <v>29</v>
      </c>
      <c r="E138" s="20" t="s">
        <v>13</v>
      </c>
      <c r="F138" s="20">
        <v>30</v>
      </c>
      <c r="G138" s="20">
        <v>72.56</v>
      </c>
      <c r="H138" s="20" t="s">
        <v>87</v>
      </c>
      <c r="I138" s="20" t="str">
        <f>VLOOKUP(H138,Sheet4!A:B,2,)</f>
        <v>Gunmetal Machine Face</v>
      </c>
      <c r="J138" s="42">
        <f>2-2+2-2+2-2+4-2+2+2-2-2-2</f>
        <v>0</v>
      </c>
    </row>
    <row r="139" s="6" customFormat="1" ht="19" customHeight="1" spans="1:10">
      <c r="A139" s="79"/>
      <c r="B139" s="23" t="s">
        <v>900</v>
      </c>
      <c r="C139" s="24" t="s">
        <v>841</v>
      </c>
      <c r="D139" s="24" t="s">
        <v>225</v>
      </c>
      <c r="E139" s="24" t="s">
        <v>13</v>
      </c>
      <c r="F139" s="24">
        <v>38</v>
      </c>
      <c r="G139" s="24">
        <v>72.56</v>
      </c>
      <c r="H139" s="24" t="s">
        <v>87</v>
      </c>
      <c r="I139" s="24" t="str">
        <f>VLOOKUP(H139,Sheet4!A:B,2,)</f>
        <v>Gunmetal Machine Face</v>
      </c>
      <c r="J139" s="43">
        <f>2-2+2-2+2-2+4-2+2+2-2-2-2</f>
        <v>0</v>
      </c>
    </row>
    <row r="140" s="6" customFormat="1" ht="25" customHeight="1" spans="1:10">
      <c r="A140" s="78"/>
      <c r="B140" s="19" t="s">
        <v>901</v>
      </c>
      <c r="C140" s="20" t="s">
        <v>841</v>
      </c>
      <c r="D140" s="20" t="s">
        <v>12</v>
      </c>
      <c r="E140" s="20" t="s">
        <v>13</v>
      </c>
      <c r="F140" s="20">
        <v>30</v>
      </c>
      <c r="G140" s="20">
        <v>72.56</v>
      </c>
      <c r="H140" s="20" t="s">
        <v>53</v>
      </c>
      <c r="I140" s="20" t="str">
        <f>VLOOKUP(H140,Sheet4!A:B,2,)</f>
        <v>polish</v>
      </c>
      <c r="J140" s="21">
        <f>8-4-4+8+4</f>
        <v>12</v>
      </c>
    </row>
    <row r="141" s="6" customFormat="1" ht="25" customHeight="1" spans="1:10">
      <c r="A141" s="78"/>
      <c r="B141" s="134" t="s">
        <v>902</v>
      </c>
      <c r="C141" s="20" t="s">
        <v>841</v>
      </c>
      <c r="D141" s="142" t="s">
        <v>23</v>
      </c>
      <c r="E141" s="142" t="s">
        <v>208</v>
      </c>
      <c r="F141" s="142">
        <v>25</v>
      </c>
      <c r="G141" s="142">
        <v>66.56</v>
      </c>
      <c r="H141" s="142" t="s">
        <v>53</v>
      </c>
      <c r="I141" s="142" t="str">
        <f>VLOOKUP(H141,Sheet4!A:B,2,)</f>
        <v>polish</v>
      </c>
      <c r="J141" s="42">
        <f>2-2+4-2-2+2-2+2+2-2</f>
        <v>2</v>
      </c>
    </row>
    <row r="142" s="6" customFormat="1" ht="25" customHeight="1" spans="1:10">
      <c r="A142" s="78"/>
      <c r="B142" s="134" t="s">
        <v>902</v>
      </c>
      <c r="C142" s="20" t="s">
        <v>841</v>
      </c>
      <c r="D142" s="142" t="s">
        <v>482</v>
      </c>
      <c r="E142" s="142" t="s">
        <v>208</v>
      </c>
      <c r="F142" s="142">
        <v>35</v>
      </c>
      <c r="G142" s="142">
        <v>66.56</v>
      </c>
      <c r="H142" s="142" t="s">
        <v>53</v>
      </c>
      <c r="I142" s="142" t="str">
        <f>VLOOKUP(H142,Sheet4!A:B,2,)</f>
        <v>polish</v>
      </c>
      <c r="J142" s="42">
        <f>2-2+4-2-2+2-2+2+2-2-1</f>
        <v>1</v>
      </c>
    </row>
    <row r="143" s="6" customFormat="1" ht="25" customHeight="1" spans="1:10">
      <c r="A143" s="78"/>
      <c r="B143" s="134" t="s">
        <v>903</v>
      </c>
      <c r="C143" s="20" t="s">
        <v>841</v>
      </c>
      <c r="D143" s="142" t="s">
        <v>23</v>
      </c>
      <c r="E143" s="142" t="s">
        <v>13</v>
      </c>
      <c r="F143" s="142">
        <v>30</v>
      </c>
      <c r="G143" s="142">
        <v>72.56</v>
      </c>
      <c r="H143" s="142" t="s">
        <v>53</v>
      </c>
      <c r="I143" s="142" t="str">
        <f>VLOOKUP(H143,Sheet4!A:B,2,)</f>
        <v>polish</v>
      </c>
      <c r="J143" s="42">
        <f>2-2+2-2+2-2+2-2+2-2+4-2-2+2-2</f>
        <v>0</v>
      </c>
    </row>
    <row r="144" s="6" customFormat="1" ht="25" customHeight="1" spans="1:10">
      <c r="A144" s="78"/>
      <c r="B144" s="134" t="s">
        <v>903</v>
      </c>
      <c r="C144" s="20" t="s">
        <v>841</v>
      </c>
      <c r="D144" s="142" t="s">
        <v>482</v>
      </c>
      <c r="E144" s="142" t="s">
        <v>13</v>
      </c>
      <c r="F144" s="142">
        <v>35</v>
      </c>
      <c r="G144" s="142">
        <v>72.56</v>
      </c>
      <c r="H144" s="142" t="s">
        <v>53</v>
      </c>
      <c r="I144" s="142" t="str">
        <f>VLOOKUP(H144,Sheet4!A:B,2,)</f>
        <v>polish</v>
      </c>
      <c r="J144" s="42">
        <f>2-2+2-2+2-2+2-2+2-2+4-2-2+2-2</f>
        <v>0</v>
      </c>
    </row>
    <row r="145" s="6" customFormat="1" ht="25" customHeight="1" spans="1:10">
      <c r="A145" s="78"/>
      <c r="B145" s="134" t="s">
        <v>904</v>
      </c>
      <c r="C145" s="20" t="s">
        <v>841</v>
      </c>
      <c r="D145" s="142" t="s">
        <v>29</v>
      </c>
      <c r="E145" s="142" t="s">
        <v>13</v>
      </c>
      <c r="F145" s="142">
        <v>30</v>
      </c>
      <c r="G145" s="142">
        <v>72.56</v>
      </c>
      <c r="H145" s="142" t="s">
        <v>53</v>
      </c>
      <c r="I145" s="142" t="str">
        <f>VLOOKUP(H145,Sheet4!A:B,2,)</f>
        <v>polish</v>
      </c>
      <c r="J145" s="42">
        <f>2-2+2-2+4-2-2+2-2+2-2+2-2+2-2+6</f>
        <v>6</v>
      </c>
    </row>
    <row r="146" s="6" customFormat="1" ht="25" customHeight="1" spans="1:10">
      <c r="A146" s="78"/>
      <c r="B146" s="134" t="s">
        <v>904</v>
      </c>
      <c r="C146" s="20" t="s">
        <v>841</v>
      </c>
      <c r="D146" s="142" t="s">
        <v>225</v>
      </c>
      <c r="E146" s="142" t="s">
        <v>13</v>
      </c>
      <c r="F146" s="142">
        <v>35</v>
      </c>
      <c r="G146" s="142">
        <v>72.56</v>
      </c>
      <c r="H146" s="142" t="s">
        <v>53</v>
      </c>
      <c r="I146" s="142" t="str">
        <f>VLOOKUP(H146,Sheet4!A:B,2,)</f>
        <v>polish</v>
      </c>
      <c r="J146" s="42">
        <f>4-2-2+2-2+2-2+2-2+2-2+6</f>
        <v>6</v>
      </c>
    </row>
    <row r="147" s="6" customFormat="1" ht="25" customHeight="1" spans="1:10">
      <c r="A147" s="78"/>
      <c r="B147" s="134" t="s">
        <v>905</v>
      </c>
      <c r="C147" s="20" t="s">
        <v>841</v>
      </c>
      <c r="D147" s="142" t="s">
        <v>29</v>
      </c>
      <c r="E147" s="142" t="s">
        <v>208</v>
      </c>
      <c r="F147" s="142">
        <v>25</v>
      </c>
      <c r="G147" s="142">
        <v>66.56</v>
      </c>
      <c r="H147" s="142" t="s">
        <v>53</v>
      </c>
      <c r="I147" s="142" t="str">
        <f>VLOOKUP(H147,Sheet4!A:B,2,)</f>
        <v>polish</v>
      </c>
      <c r="J147" s="42">
        <v>0</v>
      </c>
    </row>
    <row r="148" s="6" customFormat="1" ht="25" customHeight="1" spans="1:10">
      <c r="A148" s="79"/>
      <c r="B148" s="155" t="s">
        <v>905</v>
      </c>
      <c r="C148" s="24" t="s">
        <v>841</v>
      </c>
      <c r="D148" s="146" t="s">
        <v>225</v>
      </c>
      <c r="E148" s="146" t="s">
        <v>208</v>
      </c>
      <c r="F148" s="146">
        <v>35</v>
      </c>
      <c r="G148" s="146">
        <v>66.56</v>
      </c>
      <c r="H148" s="146" t="s">
        <v>53</v>
      </c>
      <c r="I148" s="146" t="str">
        <f>VLOOKUP(H148,Sheet4!A:B,2,)</f>
        <v>polish</v>
      </c>
      <c r="J148" s="43">
        <v>0</v>
      </c>
    </row>
    <row r="149" s="6" customFormat="1" ht="37" customHeight="1" spans="1:10">
      <c r="A149" s="78"/>
      <c r="B149" s="134" t="s">
        <v>906</v>
      </c>
      <c r="C149" s="148" t="s">
        <v>907</v>
      </c>
      <c r="D149" s="142" t="s">
        <v>12</v>
      </c>
      <c r="E149" s="142" t="s">
        <v>13</v>
      </c>
      <c r="F149" s="142">
        <v>30</v>
      </c>
      <c r="G149" s="142">
        <v>72.56</v>
      </c>
      <c r="H149" s="148" t="s">
        <v>87</v>
      </c>
      <c r="I149" s="148" t="str">
        <f>VLOOKUP(H149,Sheet4!A:B,2,)</f>
        <v>Gunmetal Machine Face</v>
      </c>
      <c r="J149" s="42">
        <f>4-4+8+4-4+12-4-4-4+4-4-4-4+4-4+4-4+12-4-4-4+12-4-4-4+4+8</f>
        <v>12</v>
      </c>
    </row>
    <row r="150" s="6" customFormat="1" ht="37" customHeight="1" spans="1:10">
      <c r="A150" s="78"/>
      <c r="B150" s="134" t="s">
        <v>908</v>
      </c>
      <c r="C150" s="148" t="s">
        <v>907</v>
      </c>
      <c r="D150" s="142" t="s">
        <v>23</v>
      </c>
      <c r="E150" s="142" t="s">
        <v>13</v>
      </c>
      <c r="F150" s="142">
        <v>30</v>
      </c>
      <c r="G150" s="142">
        <v>72.56</v>
      </c>
      <c r="H150" s="148" t="s">
        <v>87</v>
      </c>
      <c r="I150" s="148" t="str">
        <f>VLOOKUP(H150,Sheet4!A:B,2,)</f>
        <v>Gunmetal Machine Face</v>
      </c>
      <c r="J150" s="21">
        <v>0</v>
      </c>
    </row>
    <row r="151" s="6" customFormat="1" ht="37" customHeight="1" spans="1:10">
      <c r="A151" s="79"/>
      <c r="B151" s="155" t="s">
        <v>908</v>
      </c>
      <c r="C151" s="156" t="s">
        <v>907</v>
      </c>
      <c r="D151" s="146" t="s">
        <v>482</v>
      </c>
      <c r="E151" s="146" t="s">
        <v>13</v>
      </c>
      <c r="F151" s="146">
        <v>38</v>
      </c>
      <c r="G151" s="146">
        <v>72.56</v>
      </c>
      <c r="H151" s="156" t="s">
        <v>87</v>
      </c>
      <c r="I151" s="156" t="str">
        <f>VLOOKUP(H151,Sheet4!A:B,2,)</f>
        <v>Gunmetal Machine Face</v>
      </c>
      <c r="J151" s="25">
        <v>0</v>
      </c>
    </row>
    <row r="152" s="6" customFormat="1" ht="27" customHeight="1" spans="1:10">
      <c r="A152" s="78"/>
      <c r="B152" s="134" t="s">
        <v>909</v>
      </c>
      <c r="C152" s="142" t="s">
        <v>910</v>
      </c>
      <c r="D152" s="142" t="s">
        <v>12</v>
      </c>
      <c r="E152" s="65" t="s">
        <v>13</v>
      </c>
      <c r="F152" s="142">
        <v>30</v>
      </c>
      <c r="G152" s="65">
        <v>72.56</v>
      </c>
      <c r="H152" s="142" t="s">
        <v>16</v>
      </c>
      <c r="I152" s="142" t="str">
        <f>VLOOKUP(H152,Sheet4!A:B,2,)</f>
        <v>GLOSS BLACK</v>
      </c>
      <c r="J152" s="21">
        <v>0</v>
      </c>
    </row>
    <row r="153" s="6" customFormat="1" ht="27" customHeight="1" spans="1:10">
      <c r="A153" s="78"/>
      <c r="B153" s="134" t="s">
        <v>911</v>
      </c>
      <c r="C153" s="142" t="s">
        <v>910</v>
      </c>
      <c r="D153" s="142" t="s">
        <v>12</v>
      </c>
      <c r="E153" s="65" t="s">
        <v>13</v>
      </c>
      <c r="F153" s="142">
        <v>30</v>
      </c>
      <c r="G153" s="65">
        <v>72.56</v>
      </c>
      <c r="H153" s="142" t="s">
        <v>21</v>
      </c>
      <c r="I153" s="142" t="str">
        <f>VLOOKUP(H153,Sheet4!A:B,2,)</f>
        <v>Black Machine Face</v>
      </c>
      <c r="J153" s="21">
        <f>4-4</f>
        <v>0</v>
      </c>
    </row>
    <row r="154" s="6" customFormat="1" ht="27" customHeight="1" spans="1:10">
      <c r="A154" s="78"/>
      <c r="B154" s="134" t="s">
        <v>912</v>
      </c>
      <c r="C154" s="142" t="s">
        <v>910</v>
      </c>
      <c r="D154" s="142" t="s">
        <v>12</v>
      </c>
      <c r="E154" s="65" t="s">
        <v>208</v>
      </c>
      <c r="F154" s="142">
        <v>30</v>
      </c>
      <c r="G154" s="65">
        <v>66.56</v>
      </c>
      <c r="H154" s="142" t="s">
        <v>21</v>
      </c>
      <c r="I154" s="142" t="str">
        <f>VLOOKUP(H154,Sheet4!A:B,2,)</f>
        <v>Black Machine Face</v>
      </c>
      <c r="J154" s="21">
        <f>8-4-4+12</f>
        <v>12</v>
      </c>
    </row>
    <row r="155" s="6" customFormat="1" ht="27" customHeight="1" spans="1:10">
      <c r="A155" s="78"/>
      <c r="B155" s="134" t="s">
        <v>913</v>
      </c>
      <c r="C155" s="142" t="s">
        <v>910</v>
      </c>
      <c r="D155" s="142" t="s">
        <v>44</v>
      </c>
      <c r="E155" s="65" t="s">
        <v>208</v>
      </c>
      <c r="F155" s="142">
        <v>25</v>
      </c>
      <c r="G155" s="65">
        <v>66.56</v>
      </c>
      <c r="H155" s="142" t="s">
        <v>21</v>
      </c>
      <c r="I155" s="142" t="str">
        <f>VLOOKUP(H155,Sheet4!A:B,2,)</f>
        <v>Black Machine Face</v>
      </c>
      <c r="J155" s="21">
        <f>2-2+2+4-2-2</f>
        <v>2</v>
      </c>
    </row>
    <row r="156" s="6" customFormat="1" ht="27" customHeight="1" spans="1:10">
      <c r="A156" s="78"/>
      <c r="B156" s="134" t="s">
        <v>913</v>
      </c>
      <c r="C156" s="142" t="s">
        <v>910</v>
      </c>
      <c r="D156" s="142" t="s">
        <v>489</v>
      </c>
      <c r="E156" s="65" t="s">
        <v>208</v>
      </c>
      <c r="F156" s="142">
        <v>35</v>
      </c>
      <c r="G156" s="65">
        <v>66.56</v>
      </c>
      <c r="H156" s="142" t="s">
        <v>21</v>
      </c>
      <c r="I156" s="142" t="str">
        <f>VLOOKUP(H156,Sheet4!A:B,2,)</f>
        <v>Black Machine Face</v>
      </c>
      <c r="J156" s="21">
        <f>2-2+2+4-2-2</f>
        <v>2</v>
      </c>
    </row>
    <row r="157" s="6" customFormat="1" ht="27" customHeight="1" spans="1:10">
      <c r="A157" s="78"/>
      <c r="B157" s="134" t="s">
        <v>914</v>
      </c>
      <c r="C157" s="142" t="s">
        <v>910</v>
      </c>
      <c r="D157" s="142" t="s">
        <v>29</v>
      </c>
      <c r="E157" s="65" t="s">
        <v>208</v>
      </c>
      <c r="F157" s="142">
        <v>25</v>
      </c>
      <c r="G157" s="65">
        <v>66.56</v>
      </c>
      <c r="H157" s="142" t="s">
        <v>21</v>
      </c>
      <c r="I157" s="142" t="str">
        <f>VLOOKUP(H157,Sheet4!A:B,2,)</f>
        <v>Black Machine Face</v>
      </c>
      <c r="J157" s="21">
        <v>0</v>
      </c>
    </row>
    <row r="158" s="6" customFormat="1" ht="27" customHeight="1" spans="1:10">
      <c r="A158" s="78"/>
      <c r="B158" s="134" t="s">
        <v>914</v>
      </c>
      <c r="C158" s="142" t="s">
        <v>910</v>
      </c>
      <c r="D158" s="142" t="s">
        <v>225</v>
      </c>
      <c r="E158" s="65" t="s">
        <v>208</v>
      </c>
      <c r="F158" s="142">
        <v>35</v>
      </c>
      <c r="G158" s="65">
        <v>66.56</v>
      </c>
      <c r="H158" s="142" t="s">
        <v>21</v>
      </c>
      <c r="I158" s="142" t="str">
        <f>VLOOKUP(H158,Sheet4!A:B,2,)</f>
        <v>Black Machine Face</v>
      </c>
      <c r="J158" s="21">
        <v>0</v>
      </c>
    </row>
    <row r="159" s="6" customFormat="1" ht="27" customHeight="1" spans="1:10">
      <c r="A159" s="78"/>
      <c r="B159" s="134" t="s">
        <v>915</v>
      </c>
      <c r="C159" s="142" t="s">
        <v>910</v>
      </c>
      <c r="D159" s="142" t="s">
        <v>29</v>
      </c>
      <c r="E159" s="65" t="s">
        <v>208</v>
      </c>
      <c r="F159" s="142">
        <v>25</v>
      </c>
      <c r="G159" s="65">
        <v>66.56</v>
      </c>
      <c r="H159" s="142" t="s">
        <v>16</v>
      </c>
      <c r="I159" s="142" t="str">
        <f>VLOOKUP(H159,Sheet4!A:B,2,)</f>
        <v>GLOSS BLACK</v>
      </c>
      <c r="J159" s="21">
        <v>0</v>
      </c>
    </row>
    <row r="160" s="6" customFormat="1" ht="27" customHeight="1" spans="1:10">
      <c r="A160" s="79"/>
      <c r="B160" s="155" t="s">
        <v>915</v>
      </c>
      <c r="C160" s="146" t="s">
        <v>910</v>
      </c>
      <c r="D160" s="146" t="s">
        <v>225</v>
      </c>
      <c r="E160" s="68" t="s">
        <v>208</v>
      </c>
      <c r="F160" s="146">
        <v>35</v>
      </c>
      <c r="G160" s="68">
        <v>66.56</v>
      </c>
      <c r="H160" s="146" t="s">
        <v>16</v>
      </c>
      <c r="I160" s="146" t="str">
        <f>VLOOKUP(H160,Sheet4!A:B,2,)</f>
        <v>GLOSS BLACK</v>
      </c>
      <c r="J160" s="25">
        <v>0</v>
      </c>
    </row>
    <row r="161" s="6" customFormat="1" ht="54" customHeight="1" spans="1:10">
      <c r="A161" s="78"/>
      <c r="B161" s="19" t="s">
        <v>916</v>
      </c>
      <c r="C161" s="20" t="s">
        <v>917</v>
      </c>
      <c r="D161" s="20" t="s">
        <v>29</v>
      </c>
      <c r="E161" s="20" t="s">
        <v>208</v>
      </c>
      <c r="F161" s="20">
        <v>25</v>
      </c>
      <c r="G161" s="20">
        <v>66.45</v>
      </c>
      <c r="H161" s="20" t="s">
        <v>918</v>
      </c>
      <c r="I161" s="20" t="str">
        <f>VLOOKUP(H161,Sheet4!A:B,2,)</f>
        <v>silver</v>
      </c>
      <c r="J161" s="42">
        <v>2</v>
      </c>
    </row>
    <row r="162" s="6" customFormat="1" ht="54" customHeight="1" spans="1:10">
      <c r="A162" s="79"/>
      <c r="B162" s="23" t="s">
        <v>919</v>
      </c>
      <c r="C162" s="24" t="s">
        <v>917</v>
      </c>
      <c r="D162" s="24" t="s">
        <v>225</v>
      </c>
      <c r="E162" s="24" t="s">
        <v>208</v>
      </c>
      <c r="F162" s="24">
        <v>41</v>
      </c>
      <c r="G162" s="24">
        <v>66.45</v>
      </c>
      <c r="H162" s="24" t="s">
        <v>918</v>
      </c>
      <c r="I162" s="24" t="str">
        <f>VLOOKUP(H162,Sheet4!A:B,2,)</f>
        <v>silver</v>
      </c>
      <c r="J162" s="43">
        <v>2</v>
      </c>
    </row>
    <row r="163" s="6" customFormat="1" ht="21" customHeight="1" spans="1:10">
      <c r="A163" s="7"/>
      <c r="B163" s="19" t="s">
        <v>920</v>
      </c>
      <c r="C163" s="19" t="s">
        <v>921</v>
      </c>
      <c r="D163" s="19" t="s">
        <v>12</v>
      </c>
      <c r="E163" s="19" t="s">
        <v>13</v>
      </c>
      <c r="F163" s="19">
        <v>30</v>
      </c>
      <c r="G163" s="19">
        <v>72.56</v>
      </c>
      <c r="H163" s="19" t="s">
        <v>21</v>
      </c>
      <c r="I163" s="19" t="str">
        <f>VLOOKUP(H163,Sheet4!A:B,2,)</f>
        <v>Black Machine Face</v>
      </c>
      <c r="J163" s="21">
        <f>2-2+8-4-4+4+16-2-4-4-4-4-2+1-1+4-4</f>
        <v>0</v>
      </c>
    </row>
    <row r="164" s="6" customFormat="1" ht="21" customHeight="1" spans="1:10">
      <c r="A164" s="7"/>
      <c r="B164" s="19" t="s">
        <v>920</v>
      </c>
      <c r="C164" s="20" t="s">
        <v>921</v>
      </c>
      <c r="D164" s="20" t="s">
        <v>814</v>
      </c>
      <c r="E164" s="20" t="s">
        <v>13</v>
      </c>
      <c r="F164" s="20">
        <v>35</v>
      </c>
      <c r="G164" s="20">
        <v>72.56</v>
      </c>
      <c r="H164" s="20" t="s">
        <v>21</v>
      </c>
      <c r="I164" s="20" t="str">
        <f>VLOOKUP(H164,Sheet4!A:B,2,)</f>
        <v>Black Machine Face</v>
      </c>
      <c r="J164" s="42">
        <f>2-2+4-2-2</f>
        <v>0</v>
      </c>
    </row>
    <row r="165" s="6" customFormat="1" ht="21" customHeight="1" spans="1:10">
      <c r="A165" s="7"/>
      <c r="B165" s="19" t="s">
        <v>922</v>
      </c>
      <c r="C165" s="19" t="s">
        <v>921</v>
      </c>
      <c r="D165" s="19" t="s">
        <v>12</v>
      </c>
      <c r="E165" s="19" t="s">
        <v>208</v>
      </c>
      <c r="F165" s="19">
        <v>25</v>
      </c>
      <c r="G165" s="19">
        <v>66.56</v>
      </c>
      <c r="H165" s="19" t="s">
        <v>21</v>
      </c>
      <c r="I165" s="19" t="str">
        <f>VLOOKUP(H165,Sheet4!A:B,2,)</f>
        <v>Black Machine Face</v>
      </c>
      <c r="J165" s="21">
        <f>2+2-2</f>
        <v>2</v>
      </c>
    </row>
    <row r="166" s="6" customFormat="1" ht="21" customHeight="1" spans="1:10">
      <c r="A166" s="7"/>
      <c r="B166" s="19" t="s">
        <v>922</v>
      </c>
      <c r="C166" s="20" t="s">
        <v>921</v>
      </c>
      <c r="D166" s="19" t="s">
        <v>814</v>
      </c>
      <c r="E166" s="19" t="s">
        <v>208</v>
      </c>
      <c r="F166" s="19">
        <v>35</v>
      </c>
      <c r="G166" s="19">
        <v>66.56</v>
      </c>
      <c r="H166" s="19" t="s">
        <v>21</v>
      </c>
      <c r="I166" s="19" t="str">
        <f>VLOOKUP(H166,Sheet4!A:B,2,)</f>
        <v>Black Machine Face</v>
      </c>
      <c r="J166" s="21">
        <f>2+2-2</f>
        <v>2</v>
      </c>
    </row>
    <row r="167" s="6" customFormat="1" ht="21" customHeight="1" spans="1:10">
      <c r="A167" s="7"/>
      <c r="B167" s="19" t="s">
        <v>923</v>
      </c>
      <c r="C167" s="20" t="s">
        <v>921</v>
      </c>
      <c r="D167" s="20" t="s">
        <v>12</v>
      </c>
      <c r="E167" s="20" t="s">
        <v>208</v>
      </c>
      <c r="F167" s="20">
        <v>25</v>
      </c>
      <c r="G167" s="20">
        <v>66.56</v>
      </c>
      <c r="H167" s="20" t="s">
        <v>87</v>
      </c>
      <c r="I167" s="20" t="str">
        <f>VLOOKUP(H167,Sheet4!A:B,2,)</f>
        <v>Gunmetal Machine Face</v>
      </c>
      <c r="J167" s="42">
        <f>16-4-4-4-2-2+4</f>
        <v>4</v>
      </c>
    </row>
    <row r="168" s="6" customFormat="1" ht="21" customHeight="1" spans="1:10">
      <c r="A168" s="7"/>
      <c r="B168" s="19" t="s">
        <v>923</v>
      </c>
      <c r="C168" s="20" t="s">
        <v>921</v>
      </c>
      <c r="D168" s="20" t="s">
        <v>814</v>
      </c>
      <c r="E168" s="20" t="s">
        <v>208</v>
      </c>
      <c r="F168" s="20">
        <v>35</v>
      </c>
      <c r="G168" s="20">
        <v>66.56</v>
      </c>
      <c r="H168" s="20" t="s">
        <v>87</v>
      </c>
      <c r="I168" s="20" t="str">
        <f>VLOOKUP(H168,Sheet4!A:B,2,)</f>
        <v>Gunmetal Machine Face</v>
      </c>
      <c r="J168" s="42">
        <f>4-2-2</f>
        <v>0</v>
      </c>
    </row>
    <row r="169" s="6" customFormat="1" ht="21" customHeight="1" spans="1:10">
      <c r="A169" s="7"/>
      <c r="B169" s="19" t="s">
        <v>924</v>
      </c>
      <c r="C169" s="19" t="s">
        <v>921</v>
      </c>
      <c r="D169" s="20" t="s">
        <v>44</v>
      </c>
      <c r="E169" s="20" t="s">
        <v>13</v>
      </c>
      <c r="F169" s="20">
        <v>28</v>
      </c>
      <c r="G169" s="20">
        <v>72.56</v>
      </c>
      <c r="H169" s="20" t="s">
        <v>21</v>
      </c>
      <c r="I169" s="20" t="str">
        <f>VLOOKUP(H169,Sheet4!A:B,2,)</f>
        <v>Black Machine Face</v>
      </c>
      <c r="J169" s="42">
        <f>4-2-2</f>
        <v>0</v>
      </c>
    </row>
    <row r="170" s="6" customFormat="1" ht="21" customHeight="1" spans="1:10">
      <c r="A170" s="7"/>
      <c r="B170" s="19" t="s">
        <v>924</v>
      </c>
      <c r="C170" s="20" t="s">
        <v>921</v>
      </c>
      <c r="D170" s="20" t="s">
        <v>489</v>
      </c>
      <c r="E170" s="20" t="s">
        <v>13</v>
      </c>
      <c r="F170" s="20">
        <v>35</v>
      </c>
      <c r="G170" s="20">
        <v>72.56</v>
      </c>
      <c r="H170" s="20" t="s">
        <v>21</v>
      </c>
      <c r="I170" s="20" t="str">
        <f>VLOOKUP(H170,Sheet4!A:B,2,)</f>
        <v>Black Machine Face</v>
      </c>
      <c r="J170" s="42">
        <f>4-2-2</f>
        <v>0</v>
      </c>
    </row>
    <row r="171" s="6" customFormat="1" ht="21" customHeight="1" spans="1:10">
      <c r="A171" s="7"/>
      <c r="B171" s="19" t="s">
        <v>925</v>
      </c>
      <c r="C171" s="19" t="s">
        <v>921</v>
      </c>
      <c r="D171" s="19" t="s">
        <v>44</v>
      </c>
      <c r="E171" s="19" t="s">
        <v>208</v>
      </c>
      <c r="F171" s="19">
        <v>25</v>
      </c>
      <c r="G171" s="19">
        <v>66.56</v>
      </c>
      <c r="H171" s="19" t="s">
        <v>21</v>
      </c>
      <c r="I171" s="19" t="str">
        <f>VLOOKUP(H171,Sheet4!A:B,2,)</f>
        <v>Black Machine Face</v>
      </c>
      <c r="J171" s="21">
        <f>2-2+2+2+2-2-2+2+2-2-2-2+2-2+2-2+4-2-2+4+2-2-2-2+2</f>
        <v>2</v>
      </c>
    </row>
    <row r="172" s="6" customFormat="1" ht="21" customHeight="1" spans="1:10">
      <c r="A172" s="7"/>
      <c r="B172" s="19" t="s">
        <v>925</v>
      </c>
      <c r="C172" s="20" t="s">
        <v>921</v>
      </c>
      <c r="D172" s="19" t="s">
        <v>489</v>
      </c>
      <c r="E172" s="19" t="s">
        <v>208</v>
      </c>
      <c r="F172" s="19">
        <v>35</v>
      </c>
      <c r="G172" s="19">
        <v>66.56</v>
      </c>
      <c r="H172" s="19" t="s">
        <v>21</v>
      </c>
      <c r="I172" s="19" t="str">
        <f>VLOOKUP(H172,Sheet4!A:B,2,)</f>
        <v>Black Machine Face</v>
      </c>
      <c r="J172" s="21">
        <f>2-2+2+2+2-2-2+2+2-2-2-2+2-2+2-2+4-2-2+4+2-2-2-2+2</f>
        <v>2</v>
      </c>
    </row>
    <row r="173" s="6" customFormat="1" ht="21" customHeight="1" spans="1:10">
      <c r="A173" s="7"/>
      <c r="B173" s="19" t="s">
        <v>926</v>
      </c>
      <c r="C173" s="19" t="s">
        <v>921</v>
      </c>
      <c r="D173" s="20" t="s">
        <v>29</v>
      </c>
      <c r="E173" s="20" t="s">
        <v>208</v>
      </c>
      <c r="F173" s="20">
        <v>25</v>
      </c>
      <c r="G173" s="20">
        <v>66.45</v>
      </c>
      <c r="H173" s="20" t="s">
        <v>21</v>
      </c>
      <c r="I173" s="20" t="str">
        <f>VLOOKUP(H173,Sheet4!A:B,2,)</f>
        <v>Black Machine Face</v>
      </c>
      <c r="J173" s="42">
        <v>0</v>
      </c>
    </row>
    <row r="174" s="6" customFormat="1" ht="21" customHeight="1" spans="1:10">
      <c r="A174" s="80"/>
      <c r="B174" s="23" t="s">
        <v>926</v>
      </c>
      <c r="C174" s="24" t="s">
        <v>921</v>
      </c>
      <c r="D174" s="24" t="s">
        <v>225</v>
      </c>
      <c r="E174" s="24" t="s">
        <v>208</v>
      </c>
      <c r="F174" s="24">
        <v>35</v>
      </c>
      <c r="G174" s="24">
        <v>66.45</v>
      </c>
      <c r="H174" s="24" t="s">
        <v>21</v>
      </c>
      <c r="I174" s="24" t="str">
        <f>VLOOKUP(H174,Sheet4!A:B,2,)</f>
        <v>Black Machine Face</v>
      </c>
      <c r="J174" s="43">
        <v>0</v>
      </c>
    </row>
    <row r="175" s="6" customFormat="1" ht="20" customHeight="1" spans="1:10">
      <c r="A175" s="7"/>
      <c r="B175" s="19" t="s">
        <v>927</v>
      </c>
      <c r="C175" s="20" t="s">
        <v>928</v>
      </c>
      <c r="D175" s="20" t="s">
        <v>12</v>
      </c>
      <c r="E175" s="20" t="s">
        <v>208</v>
      </c>
      <c r="F175" s="20">
        <v>25</v>
      </c>
      <c r="G175" s="20">
        <v>66.56</v>
      </c>
      <c r="H175" s="20" t="s">
        <v>16</v>
      </c>
      <c r="I175" s="20" t="str">
        <f>VLOOKUP(H175,Sheet4!A:B,2,)</f>
        <v>GLOSS BLACK</v>
      </c>
      <c r="J175" s="42">
        <v>0</v>
      </c>
    </row>
    <row r="176" s="6" customFormat="1" ht="20" customHeight="1" spans="1:10">
      <c r="A176" s="7"/>
      <c r="B176" s="19" t="s">
        <v>927</v>
      </c>
      <c r="C176" s="20" t="s">
        <v>928</v>
      </c>
      <c r="D176" s="20" t="s">
        <v>814</v>
      </c>
      <c r="E176" s="20" t="s">
        <v>208</v>
      </c>
      <c r="F176" s="20">
        <v>35</v>
      </c>
      <c r="G176" s="20">
        <v>66.56</v>
      </c>
      <c r="H176" s="20" t="s">
        <v>16</v>
      </c>
      <c r="I176" s="20" t="str">
        <f>VLOOKUP(H176,Sheet4!A:B,2,)</f>
        <v>GLOSS BLACK</v>
      </c>
      <c r="J176" s="42">
        <v>0</v>
      </c>
    </row>
    <row r="177" s="6" customFormat="1" ht="20" customHeight="1" spans="1:10">
      <c r="A177" s="7"/>
      <c r="B177" s="19" t="s">
        <v>929</v>
      </c>
      <c r="C177" s="20" t="s">
        <v>928</v>
      </c>
      <c r="D177" s="20" t="s">
        <v>12</v>
      </c>
      <c r="E177" s="20" t="s">
        <v>208</v>
      </c>
      <c r="F177" s="20">
        <v>25</v>
      </c>
      <c r="G177" s="20">
        <v>66.56</v>
      </c>
      <c r="H177" s="20" t="s">
        <v>288</v>
      </c>
      <c r="I177" s="20" t="str">
        <f>VLOOKUP(H177,Sheet4!A:B,2,)</f>
        <v>matte bronze</v>
      </c>
      <c r="J177" s="21">
        <f>14-4-2-4-4+6-4+4-4-2+12-4-4+4-4-4</f>
        <v>0</v>
      </c>
    </row>
    <row r="178" s="6" customFormat="1" ht="20" customHeight="1" spans="1:10">
      <c r="A178" s="7"/>
      <c r="B178" s="19" t="s">
        <v>929</v>
      </c>
      <c r="C178" s="20" t="s">
        <v>928</v>
      </c>
      <c r="D178" s="20" t="s">
        <v>814</v>
      </c>
      <c r="E178" s="20" t="s">
        <v>208</v>
      </c>
      <c r="F178" s="20">
        <v>35</v>
      </c>
      <c r="G178" s="20">
        <v>66.56</v>
      </c>
      <c r="H178" s="20" t="s">
        <v>288</v>
      </c>
      <c r="I178" s="20" t="str">
        <f>VLOOKUP(H178,Sheet4!A:B,2,)</f>
        <v>matte bronze</v>
      </c>
      <c r="J178" s="21">
        <f>2-2+2-2</f>
        <v>0</v>
      </c>
    </row>
    <row r="179" s="197" customFormat="1" ht="20" customHeight="1" spans="1:10">
      <c r="A179" s="257"/>
      <c r="B179" s="19" t="s">
        <v>930</v>
      </c>
      <c r="C179" s="20" t="s">
        <v>928</v>
      </c>
      <c r="D179" s="20" t="s">
        <v>23</v>
      </c>
      <c r="E179" s="20" t="s">
        <v>208</v>
      </c>
      <c r="F179" s="20">
        <v>25</v>
      </c>
      <c r="G179" s="20">
        <v>66.56</v>
      </c>
      <c r="H179" s="20" t="s">
        <v>288</v>
      </c>
      <c r="I179" s="20" t="str">
        <f>VLOOKUP(H179,Sheet4!A:B,2,)</f>
        <v>matte bronze</v>
      </c>
      <c r="J179" s="21">
        <f>2-2</f>
        <v>0</v>
      </c>
    </row>
    <row r="180" s="197" customFormat="1" ht="20" customHeight="1" spans="1:10">
      <c r="A180" s="257"/>
      <c r="B180" s="19" t="s">
        <v>930</v>
      </c>
      <c r="C180" s="20" t="s">
        <v>928</v>
      </c>
      <c r="D180" s="20" t="s">
        <v>482</v>
      </c>
      <c r="E180" s="20" t="s">
        <v>208</v>
      </c>
      <c r="F180" s="20">
        <v>35</v>
      </c>
      <c r="G180" s="20">
        <v>66.56</v>
      </c>
      <c r="H180" s="20" t="s">
        <v>288</v>
      </c>
      <c r="I180" s="20" t="str">
        <f>VLOOKUP(H180,Sheet4!A:B,2,)</f>
        <v>matte bronze</v>
      </c>
      <c r="J180" s="21">
        <f>2-2</f>
        <v>0</v>
      </c>
    </row>
    <row r="181" s="197" customFormat="1" ht="20" customHeight="1" spans="1:10">
      <c r="A181" s="257"/>
      <c r="B181" s="19" t="s">
        <v>931</v>
      </c>
      <c r="C181" s="20" t="s">
        <v>928</v>
      </c>
      <c r="D181" s="20" t="s">
        <v>23</v>
      </c>
      <c r="E181" s="20" t="s">
        <v>208</v>
      </c>
      <c r="F181" s="20">
        <v>25</v>
      </c>
      <c r="G181" s="20">
        <v>66.56</v>
      </c>
      <c r="H181" s="20" t="s">
        <v>16</v>
      </c>
      <c r="I181" s="20" t="str">
        <f>VLOOKUP(H181,Sheet4!A:B,2,)</f>
        <v>GLOSS BLACK</v>
      </c>
      <c r="J181" s="21">
        <f>2-2+4-2-2+2-2</f>
        <v>0</v>
      </c>
    </row>
    <row r="182" s="197" customFormat="1" ht="20" customHeight="1" spans="1:10">
      <c r="A182" s="257"/>
      <c r="B182" s="19" t="s">
        <v>931</v>
      </c>
      <c r="C182" s="20" t="s">
        <v>928</v>
      </c>
      <c r="D182" s="20" t="s">
        <v>482</v>
      </c>
      <c r="E182" s="20" t="s">
        <v>208</v>
      </c>
      <c r="F182" s="20">
        <v>35</v>
      </c>
      <c r="G182" s="20">
        <v>66.56</v>
      </c>
      <c r="H182" s="20" t="s">
        <v>16</v>
      </c>
      <c r="I182" s="20" t="str">
        <f>VLOOKUP(H182,Sheet4!A:B,2,)</f>
        <v>GLOSS BLACK</v>
      </c>
      <c r="J182" s="21">
        <f>2-2+4-2-2+2-2</f>
        <v>0</v>
      </c>
    </row>
    <row r="183" s="6" customFormat="1" ht="20" customHeight="1" spans="1:10">
      <c r="A183" s="257"/>
      <c r="B183" s="19" t="s">
        <v>932</v>
      </c>
      <c r="C183" s="20" t="s">
        <v>928</v>
      </c>
      <c r="D183" s="20" t="s">
        <v>29</v>
      </c>
      <c r="E183" s="20" t="s">
        <v>208</v>
      </c>
      <c r="F183" s="20">
        <v>25</v>
      </c>
      <c r="G183" s="20">
        <v>66.56</v>
      </c>
      <c r="H183" s="20" t="s">
        <v>288</v>
      </c>
      <c r="I183" s="20" t="str">
        <f>VLOOKUP(H183,Sheet4!A:B,2,)</f>
        <v>matte bronze</v>
      </c>
      <c r="J183" s="21">
        <f>4-2-2</f>
        <v>0</v>
      </c>
    </row>
    <row r="184" s="6" customFormat="1" ht="20" customHeight="1" spans="1:10">
      <c r="A184" s="258"/>
      <c r="B184" s="23" t="s">
        <v>932</v>
      </c>
      <c r="C184" s="24" t="s">
        <v>928</v>
      </c>
      <c r="D184" s="24" t="s">
        <v>225</v>
      </c>
      <c r="E184" s="24" t="s">
        <v>208</v>
      </c>
      <c r="F184" s="24">
        <v>39</v>
      </c>
      <c r="G184" s="24">
        <v>66.56</v>
      </c>
      <c r="H184" s="24" t="s">
        <v>288</v>
      </c>
      <c r="I184" s="24" t="str">
        <f>VLOOKUP(H184,Sheet4!A:B,2,)</f>
        <v>matte bronze</v>
      </c>
      <c r="J184" s="25">
        <f>4-2-2</f>
        <v>0</v>
      </c>
    </row>
    <row r="185" s="6" customFormat="1" ht="18" customHeight="1" spans="1:10">
      <c r="A185" s="7"/>
      <c r="B185" s="99" t="s">
        <v>933</v>
      </c>
      <c r="C185" s="20" t="s">
        <v>928</v>
      </c>
      <c r="D185" s="20" t="s">
        <v>12</v>
      </c>
      <c r="E185" s="20" t="s">
        <v>208</v>
      </c>
      <c r="F185" s="20">
        <v>25</v>
      </c>
      <c r="G185" s="20">
        <v>66.56</v>
      </c>
      <c r="H185" s="20" t="s">
        <v>16</v>
      </c>
      <c r="I185" s="20" t="str">
        <f>VLOOKUP(H185,Sheet4!A:B,2,)</f>
        <v>GLOSS BLACK</v>
      </c>
      <c r="J185" s="42">
        <f>12-4-4+8-4+12-4-2-4-4+12-4-2-4+8-4+2-2+4-4-4-2-2+4+2-4-4-2+2-2+4-2+4-6+4</f>
        <v>4</v>
      </c>
    </row>
    <row r="186" s="6" customFormat="1" ht="18" customHeight="1" spans="1:10">
      <c r="A186" s="7"/>
      <c r="B186" s="99" t="s">
        <v>933</v>
      </c>
      <c r="C186" s="20" t="s">
        <v>928</v>
      </c>
      <c r="D186" s="20" t="s">
        <v>58</v>
      </c>
      <c r="E186" s="20" t="s">
        <v>208</v>
      </c>
      <c r="F186" s="20">
        <v>35</v>
      </c>
      <c r="G186" s="20">
        <v>66.56</v>
      </c>
      <c r="H186" s="20" t="s">
        <v>16</v>
      </c>
      <c r="I186" s="20" t="str">
        <f>VLOOKUP(H186,Sheet4!A:B,2,)</f>
        <v>GLOSS BLACK</v>
      </c>
      <c r="J186" s="42">
        <f>2-2+2-2+4-2-2+6-2-2-2+4+1-1-2-2</f>
        <v>0</v>
      </c>
    </row>
    <row r="187" s="277" customFormat="1" ht="18" customHeight="1" spans="1:10">
      <c r="A187" s="7"/>
      <c r="B187" s="19" t="s">
        <v>934</v>
      </c>
      <c r="C187" s="20" t="s">
        <v>928</v>
      </c>
      <c r="D187" s="19" t="s">
        <v>12</v>
      </c>
      <c r="E187" s="19" t="s">
        <v>208</v>
      </c>
      <c r="F187" s="19">
        <v>30</v>
      </c>
      <c r="G187" s="19">
        <v>66.56</v>
      </c>
      <c r="H187" s="19" t="s">
        <v>16</v>
      </c>
      <c r="I187" s="19" t="str">
        <f>VLOOKUP(H187,Sheet4!A:B,2,)</f>
        <v>GLOSS BLACK</v>
      </c>
      <c r="J187" s="21">
        <f>4-4+4-4+4</f>
        <v>4</v>
      </c>
    </row>
    <row r="188" s="6" customFormat="1" ht="18" customHeight="1" spans="1:10">
      <c r="A188" s="7"/>
      <c r="B188" s="19" t="s">
        <v>935</v>
      </c>
      <c r="C188" s="20" t="s">
        <v>928</v>
      </c>
      <c r="D188" s="20" t="s">
        <v>12</v>
      </c>
      <c r="E188" s="19" t="s">
        <v>208</v>
      </c>
      <c r="F188" s="20">
        <v>25</v>
      </c>
      <c r="G188" s="20">
        <v>66.56</v>
      </c>
      <c r="H188" s="20" t="s">
        <v>21</v>
      </c>
      <c r="I188" s="20" t="str">
        <f>VLOOKUP(H188,Sheet4!A:B,2,)</f>
        <v>Black Machine Face</v>
      </c>
      <c r="J188" s="42">
        <f>4-4+12-4-4+8-4+4-4-4-4+8-4-4</f>
        <v>0</v>
      </c>
    </row>
    <row r="189" s="6" customFormat="1" ht="18" customHeight="1" spans="1:10">
      <c r="A189" s="7"/>
      <c r="B189" s="99" t="s">
        <v>936</v>
      </c>
      <c r="C189" s="20" t="s">
        <v>928</v>
      </c>
      <c r="D189" s="20" t="s">
        <v>12</v>
      </c>
      <c r="E189" s="20" t="s">
        <v>13</v>
      </c>
      <c r="F189" s="20">
        <v>30</v>
      </c>
      <c r="G189" s="20">
        <v>72.56</v>
      </c>
      <c r="H189" s="19" t="s">
        <v>21</v>
      </c>
      <c r="I189" s="19" t="str">
        <f>VLOOKUP(H189,Sheet4!A:B,2,)</f>
        <v>Black Machine Face</v>
      </c>
      <c r="J189" s="42">
        <f>12-4-4-4+8-4+4-4-4+8</f>
        <v>8</v>
      </c>
    </row>
    <row r="190" s="6" customFormat="1" ht="18" customHeight="1" spans="1:10">
      <c r="A190" s="7"/>
      <c r="B190" s="19" t="s">
        <v>937</v>
      </c>
      <c r="C190" s="20" t="s">
        <v>928</v>
      </c>
      <c r="D190" s="19" t="s">
        <v>12</v>
      </c>
      <c r="E190" s="19" t="s">
        <v>13</v>
      </c>
      <c r="F190" s="19">
        <v>30</v>
      </c>
      <c r="G190" s="19">
        <v>72.56</v>
      </c>
      <c r="H190" s="19" t="s">
        <v>16</v>
      </c>
      <c r="I190" s="19" t="str">
        <f>VLOOKUP(H190,Sheet4!A:B,2,)</f>
        <v>GLOSS BLACK</v>
      </c>
      <c r="J190" s="21">
        <f>8-4-4+12-4-4-4+12-4-4-4</f>
        <v>0</v>
      </c>
    </row>
    <row r="191" s="277" customFormat="1" ht="18" customHeight="1" spans="1:10">
      <c r="A191" s="7"/>
      <c r="B191" s="19" t="s">
        <v>938</v>
      </c>
      <c r="C191" s="20" t="s">
        <v>928</v>
      </c>
      <c r="D191" s="20" t="s">
        <v>44</v>
      </c>
      <c r="E191" s="20" t="s">
        <v>208</v>
      </c>
      <c r="F191" s="20">
        <v>25</v>
      </c>
      <c r="G191" s="20">
        <v>66.56</v>
      </c>
      <c r="H191" s="20" t="s">
        <v>16</v>
      </c>
      <c r="I191" s="20" t="str">
        <f>VLOOKUP(H191,Sheet4!A:B,2,)</f>
        <v>GLOSS BLACK</v>
      </c>
      <c r="J191" s="42">
        <f>8-2+2-2-2-2-2+6-2-2-2+18-2-2-2-2-2-4-4+2</f>
        <v>2</v>
      </c>
    </row>
    <row r="192" s="277" customFormat="1" ht="18" customHeight="1" spans="1:10">
      <c r="A192" s="295"/>
      <c r="B192" s="19" t="s">
        <v>938</v>
      </c>
      <c r="C192" s="20" t="s">
        <v>928</v>
      </c>
      <c r="D192" s="20" t="s">
        <v>489</v>
      </c>
      <c r="E192" s="20" t="s">
        <v>208</v>
      </c>
      <c r="F192" s="20">
        <v>35</v>
      </c>
      <c r="G192" s="20">
        <v>66.56</v>
      </c>
      <c r="H192" s="20" t="s">
        <v>16</v>
      </c>
      <c r="I192" s="20" t="str">
        <f>VLOOKUP(H192,Sheet4!A:B,2,)</f>
        <v>GLOSS BLACK</v>
      </c>
      <c r="J192" s="42">
        <f>8-2+2-2-2-2-2+6-2-2-2+10-2-2-2-2-2+2</f>
        <v>2</v>
      </c>
    </row>
    <row r="193" s="277" customFormat="1" ht="18" customHeight="1" spans="1:10">
      <c r="A193" s="295"/>
      <c r="B193" s="19" t="s">
        <v>939</v>
      </c>
      <c r="C193" s="20" t="s">
        <v>928</v>
      </c>
      <c r="D193" s="19" t="s">
        <v>44</v>
      </c>
      <c r="E193" s="19" t="s">
        <v>208</v>
      </c>
      <c r="F193" s="19">
        <v>25</v>
      </c>
      <c r="G193" s="19">
        <v>66.56</v>
      </c>
      <c r="H193" s="19" t="s">
        <v>21</v>
      </c>
      <c r="I193" s="19" t="str">
        <f>VLOOKUP(H193,Sheet4!A:B,2,)</f>
        <v>Black Machine Face</v>
      </c>
      <c r="J193" s="21">
        <f>4+2-2-2+4-2+1-2-2+2-2+1-2+4-2+2-2-2+2-2+6-2-2-2+4-2-2+2</f>
        <v>2</v>
      </c>
    </row>
    <row r="194" s="277" customFormat="1" ht="18" customHeight="1" spans="1:10">
      <c r="A194" s="295"/>
      <c r="B194" s="19" t="s">
        <v>939</v>
      </c>
      <c r="C194" s="20" t="s">
        <v>928</v>
      </c>
      <c r="D194" s="19" t="s">
        <v>489</v>
      </c>
      <c r="E194" s="19" t="s">
        <v>208</v>
      </c>
      <c r="F194" s="19">
        <v>35</v>
      </c>
      <c r="G194" s="19">
        <v>66.56</v>
      </c>
      <c r="H194" s="19" t="s">
        <v>21</v>
      </c>
      <c r="I194" s="19" t="str">
        <f>VLOOKUP(H194,Sheet4!A:B,2,)</f>
        <v>Black Machine Face</v>
      </c>
      <c r="J194" s="21">
        <f>4+2-2-2+4-2+2-2-2+2-2-2+4-2+2-2-2+2-2+6-2-2-2+4-2-2+2</f>
        <v>2</v>
      </c>
    </row>
    <row r="195" s="277" customFormat="1" ht="18" customHeight="1" spans="1:10">
      <c r="A195" s="295"/>
      <c r="B195" s="19" t="s">
        <v>940</v>
      </c>
      <c r="C195" s="19" t="s">
        <v>928</v>
      </c>
      <c r="D195" s="19" t="s">
        <v>23</v>
      </c>
      <c r="E195" s="19" t="s">
        <v>208</v>
      </c>
      <c r="F195" s="19">
        <v>25</v>
      </c>
      <c r="G195" s="19">
        <v>66.56</v>
      </c>
      <c r="H195" s="19" t="s">
        <v>16</v>
      </c>
      <c r="I195" s="19" t="str">
        <f>VLOOKUP(H195,Sheet4!A:B,2,)</f>
        <v>GLOSS BLACK</v>
      </c>
      <c r="J195" s="21">
        <v>0</v>
      </c>
    </row>
    <row r="196" s="277" customFormat="1" ht="18" customHeight="1" spans="1:10">
      <c r="A196" s="295"/>
      <c r="B196" s="19" t="s">
        <v>940</v>
      </c>
      <c r="C196" s="20" t="s">
        <v>928</v>
      </c>
      <c r="D196" s="20" t="s">
        <v>482</v>
      </c>
      <c r="E196" s="20" t="s">
        <v>208</v>
      </c>
      <c r="F196" s="20">
        <v>35</v>
      </c>
      <c r="G196" s="20">
        <v>66.56</v>
      </c>
      <c r="H196" s="20" t="s">
        <v>16</v>
      </c>
      <c r="I196" s="20" t="str">
        <f>VLOOKUP(H196,Sheet4!A:B,2,)</f>
        <v>GLOSS BLACK</v>
      </c>
      <c r="J196" s="42">
        <v>0</v>
      </c>
    </row>
    <row r="197" s="277" customFormat="1" ht="18" customHeight="1" spans="1:10">
      <c r="A197" s="295"/>
      <c r="B197" s="19" t="s">
        <v>941</v>
      </c>
      <c r="C197" s="20" t="s">
        <v>928</v>
      </c>
      <c r="D197" s="20" t="s">
        <v>23</v>
      </c>
      <c r="E197" s="20" t="s">
        <v>208</v>
      </c>
      <c r="F197" s="20">
        <v>25</v>
      </c>
      <c r="G197" s="20">
        <v>66.56</v>
      </c>
      <c r="H197" s="20" t="s">
        <v>21</v>
      </c>
      <c r="I197" s="20" t="str">
        <f>VLOOKUP(H197,Sheet4!A:B,2,)</f>
        <v>Black Machine Face</v>
      </c>
      <c r="J197" s="42">
        <f>2-2+6-2-2-2+4+2-2-2+2-4</f>
        <v>0</v>
      </c>
    </row>
    <row r="198" s="277" customFormat="1" ht="18" customHeight="1" spans="1:10">
      <c r="A198" s="295"/>
      <c r="B198" s="19" t="s">
        <v>941</v>
      </c>
      <c r="C198" s="20" t="s">
        <v>928</v>
      </c>
      <c r="D198" s="20" t="s">
        <v>482</v>
      </c>
      <c r="E198" s="20" t="s">
        <v>208</v>
      </c>
      <c r="F198" s="20">
        <v>35</v>
      </c>
      <c r="G198" s="20">
        <v>66.56</v>
      </c>
      <c r="H198" s="20" t="s">
        <v>21</v>
      </c>
      <c r="I198" s="20" t="str">
        <f>VLOOKUP(H198,Sheet4!A:B,2,)</f>
        <v>Black Machine Face</v>
      </c>
      <c r="J198" s="42">
        <f>2-2+6-2-2-2+4+2-2-2+2-4</f>
        <v>0</v>
      </c>
    </row>
    <row r="199" s="6" customFormat="1" ht="18" customHeight="1" spans="1:10">
      <c r="A199" s="295"/>
      <c r="B199" s="19" t="s">
        <v>942</v>
      </c>
      <c r="C199" s="20" t="s">
        <v>928</v>
      </c>
      <c r="D199" s="20" t="s">
        <v>23</v>
      </c>
      <c r="E199" s="20" t="s">
        <v>13</v>
      </c>
      <c r="F199" s="20">
        <v>30</v>
      </c>
      <c r="G199" s="20">
        <v>72.56</v>
      </c>
      <c r="H199" s="20" t="s">
        <v>16</v>
      </c>
      <c r="I199" s="20" t="str">
        <f>VLOOKUP(H199,Sheet4!A:B,2,)</f>
        <v>GLOSS BLACK</v>
      </c>
      <c r="J199" s="42">
        <f>1+6-2-2+2-2+2-2-2+6-2-2-2+2-2+6</f>
        <v>7</v>
      </c>
    </row>
    <row r="200" s="6" customFormat="1" ht="18" customHeight="1" spans="1:10">
      <c r="A200" s="295"/>
      <c r="B200" s="19" t="s">
        <v>942</v>
      </c>
      <c r="C200" s="20" t="s">
        <v>928</v>
      </c>
      <c r="D200" s="20" t="s">
        <v>482</v>
      </c>
      <c r="E200" s="20" t="s">
        <v>13</v>
      </c>
      <c r="F200" s="20">
        <v>38</v>
      </c>
      <c r="G200" s="20">
        <v>72.56</v>
      </c>
      <c r="H200" s="20" t="s">
        <v>16</v>
      </c>
      <c r="I200" s="20" t="str">
        <f>VLOOKUP(H200,Sheet4!A:B,2,)</f>
        <v>GLOSS BLACK</v>
      </c>
      <c r="J200" s="42">
        <f>6-2-2+2-2+2-2-2+6-2-2-2+2-2+6</f>
        <v>6</v>
      </c>
    </row>
    <row r="201" s="277" customFormat="1" ht="18" customHeight="1" spans="1:10">
      <c r="A201" s="295"/>
      <c r="B201" s="19" t="s">
        <v>943</v>
      </c>
      <c r="C201" s="20" t="s">
        <v>928</v>
      </c>
      <c r="D201" s="20" t="s">
        <v>23</v>
      </c>
      <c r="E201" s="20" t="s">
        <v>13</v>
      </c>
      <c r="F201" s="20">
        <v>30</v>
      </c>
      <c r="G201" s="20">
        <v>72.56</v>
      </c>
      <c r="H201" s="20" t="s">
        <v>21</v>
      </c>
      <c r="I201" s="20" t="str">
        <f>VLOOKUP(H201,Sheet4!A:B,2,)</f>
        <v>Black Machine Face</v>
      </c>
      <c r="J201" s="42">
        <f>4-2+4-2-2-1+2-2+2</f>
        <v>3</v>
      </c>
    </row>
    <row r="202" s="277" customFormat="1" ht="18" customHeight="1" spans="1:10">
      <c r="A202" s="295"/>
      <c r="B202" s="19" t="s">
        <v>943</v>
      </c>
      <c r="C202" s="20" t="s">
        <v>928</v>
      </c>
      <c r="D202" s="20" t="s">
        <v>482</v>
      </c>
      <c r="E202" s="20" t="s">
        <v>13</v>
      </c>
      <c r="F202" s="20">
        <v>38</v>
      </c>
      <c r="G202" s="20">
        <v>72.56</v>
      </c>
      <c r="H202" s="20" t="s">
        <v>21</v>
      </c>
      <c r="I202" s="20" t="str">
        <f>VLOOKUP(H202,Sheet4!A:B,2,)</f>
        <v>Black Machine Face</v>
      </c>
      <c r="J202" s="42">
        <f>4-2+4-2-2-2+2-2+2</f>
        <v>2</v>
      </c>
    </row>
    <row r="203" s="277" customFormat="1" ht="20" customHeight="1" spans="1:10">
      <c r="A203" s="296"/>
      <c r="B203" s="134" t="s">
        <v>944</v>
      </c>
      <c r="C203" s="20" t="s">
        <v>928</v>
      </c>
      <c r="D203" s="142" t="s">
        <v>29</v>
      </c>
      <c r="E203" s="142" t="s">
        <v>208</v>
      </c>
      <c r="F203" s="142">
        <v>25</v>
      </c>
      <c r="G203" s="142">
        <v>66.56</v>
      </c>
      <c r="H203" s="20" t="s">
        <v>21</v>
      </c>
      <c r="I203" s="20" t="str">
        <f>VLOOKUP(H203,Sheet4!A:B,2,)</f>
        <v>Black Machine Face</v>
      </c>
      <c r="J203" s="42">
        <v>2</v>
      </c>
    </row>
    <row r="204" s="277" customFormat="1" ht="20" customHeight="1" spans="1:10">
      <c r="A204" s="296"/>
      <c r="B204" s="134" t="s">
        <v>944</v>
      </c>
      <c r="C204" s="20" t="s">
        <v>928</v>
      </c>
      <c r="D204" s="142" t="s">
        <v>225</v>
      </c>
      <c r="E204" s="142" t="s">
        <v>208</v>
      </c>
      <c r="F204" s="142">
        <v>35</v>
      </c>
      <c r="G204" s="142">
        <v>66.56</v>
      </c>
      <c r="H204" s="20" t="s">
        <v>21</v>
      </c>
      <c r="I204" s="20" t="str">
        <f>VLOOKUP(H204,Sheet4!A:B,2,)</f>
        <v>Black Machine Face</v>
      </c>
      <c r="J204" s="42">
        <v>2</v>
      </c>
    </row>
    <row r="205" s="6" customFormat="1" ht="20" customHeight="1" spans="1:10">
      <c r="A205" s="296"/>
      <c r="B205" s="134" t="s">
        <v>945</v>
      </c>
      <c r="C205" s="20" t="s">
        <v>928</v>
      </c>
      <c r="D205" s="142" t="s">
        <v>29</v>
      </c>
      <c r="E205" s="142" t="s">
        <v>208</v>
      </c>
      <c r="F205" s="142">
        <v>25</v>
      </c>
      <c r="G205" s="142">
        <v>66.56</v>
      </c>
      <c r="H205" s="148" t="s">
        <v>16</v>
      </c>
      <c r="I205" s="148" t="str">
        <f>VLOOKUP(H205,Sheet4!A:B,2,)</f>
        <v>GLOSS BLACK</v>
      </c>
      <c r="J205" s="42">
        <f>4-2+4-2-2-2+4-2-2+4-2-2+4-2-2+4+2-2-2-2+6-2-2+2-2-2+8-4</f>
        <v>4</v>
      </c>
    </row>
    <row r="206" s="6" customFormat="1" ht="20" customHeight="1" spans="1:10">
      <c r="A206" s="297"/>
      <c r="B206" s="155" t="s">
        <v>945</v>
      </c>
      <c r="C206" s="24" t="s">
        <v>928</v>
      </c>
      <c r="D206" s="146" t="s">
        <v>225</v>
      </c>
      <c r="E206" s="146" t="s">
        <v>208</v>
      </c>
      <c r="F206" s="146">
        <v>35</v>
      </c>
      <c r="G206" s="146">
        <v>66.56</v>
      </c>
      <c r="H206" s="156" t="s">
        <v>16</v>
      </c>
      <c r="I206" s="156" t="str">
        <f>VLOOKUP(H206,Sheet4!A:B,2,)</f>
        <v>GLOSS BLACK</v>
      </c>
      <c r="J206" s="43">
        <f>4-2+4-2-2-2+4-2-2+4-2-2+4-2-2+2-2+4-2-2+6-2-2+2-2-2+8-4</f>
        <v>4</v>
      </c>
    </row>
    <row r="207" s="6" customFormat="1" ht="29" customHeight="1" spans="1:10">
      <c r="A207" s="7"/>
      <c r="B207" s="134" t="s">
        <v>946</v>
      </c>
      <c r="C207" s="134" t="s">
        <v>928</v>
      </c>
      <c r="D207" s="141" t="s">
        <v>12</v>
      </c>
      <c r="E207" s="141" t="s">
        <v>13</v>
      </c>
      <c r="F207" s="141">
        <v>30</v>
      </c>
      <c r="G207" s="141">
        <v>72.56</v>
      </c>
      <c r="H207" s="134" t="s">
        <v>87</v>
      </c>
      <c r="I207" s="134" t="str">
        <f>VLOOKUP(H207,Sheet4!A:B,2,)</f>
        <v>Gunmetal Machine Face</v>
      </c>
      <c r="J207" s="21">
        <f>4-4+8-2-4-2+2-2+2-2+4-2-2+4+2-2</f>
        <v>4</v>
      </c>
    </row>
    <row r="208" s="6" customFormat="1" ht="29" customHeight="1" spans="1:10">
      <c r="A208" s="7"/>
      <c r="B208" s="134" t="s">
        <v>946</v>
      </c>
      <c r="C208" s="134" t="s">
        <v>928</v>
      </c>
      <c r="D208" s="141" t="s">
        <v>58</v>
      </c>
      <c r="E208" s="141" t="s">
        <v>13</v>
      </c>
      <c r="F208" s="141">
        <v>30</v>
      </c>
      <c r="G208" s="141">
        <v>72.56</v>
      </c>
      <c r="H208" s="134" t="s">
        <v>87</v>
      </c>
      <c r="I208" s="134" t="str">
        <f>VLOOKUP(H208,Sheet4!A:B,2,)</f>
        <v>Gunmetal Machine Face</v>
      </c>
      <c r="J208" s="21">
        <f>4-2-2+2-2+2-2+4-2-2+2-2+2</f>
        <v>2</v>
      </c>
    </row>
    <row r="209" s="6" customFormat="1" ht="29" customHeight="1" spans="1:10">
      <c r="A209" s="7"/>
      <c r="B209" s="134" t="s">
        <v>947</v>
      </c>
      <c r="C209" s="134" t="s">
        <v>928</v>
      </c>
      <c r="D209" s="141" t="s">
        <v>12</v>
      </c>
      <c r="E209" s="141" t="s">
        <v>13</v>
      </c>
      <c r="F209" s="141">
        <v>30</v>
      </c>
      <c r="G209" s="141">
        <v>72.56</v>
      </c>
      <c r="H209" s="134" t="s">
        <v>16</v>
      </c>
      <c r="I209" s="134" t="str">
        <f>VLOOKUP(H209,Sheet4!A:B,2,)</f>
        <v>GLOSS BLACK</v>
      </c>
      <c r="J209" s="21">
        <v>2</v>
      </c>
    </row>
    <row r="210" s="6" customFormat="1" ht="29" customHeight="1" spans="1:10">
      <c r="A210" s="7"/>
      <c r="B210" s="134" t="s">
        <v>947</v>
      </c>
      <c r="C210" s="134" t="s">
        <v>928</v>
      </c>
      <c r="D210" s="141" t="s">
        <v>58</v>
      </c>
      <c r="E210" s="141" t="s">
        <v>13</v>
      </c>
      <c r="F210" s="141">
        <v>30</v>
      </c>
      <c r="G210" s="141">
        <v>72.56</v>
      </c>
      <c r="H210" s="134" t="s">
        <v>16</v>
      </c>
      <c r="I210" s="134" t="str">
        <f>VLOOKUP(H210,Sheet4!A:B,2,)</f>
        <v>GLOSS BLACK</v>
      </c>
      <c r="J210" s="21">
        <v>2</v>
      </c>
    </row>
    <row r="211" s="6" customFormat="1" ht="29" customHeight="1" spans="1:10">
      <c r="A211" s="80"/>
      <c r="B211" s="155" t="s">
        <v>948</v>
      </c>
      <c r="C211" s="155" t="s">
        <v>928</v>
      </c>
      <c r="D211" s="145" t="s">
        <v>58</v>
      </c>
      <c r="E211" s="145" t="s">
        <v>208</v>
      </c>
      <c r="F211" s="145">
        <v>35</v>
      </c>
      <c r="G211" s="145">
        <v>66.56</v>
      </c>
      <c r="H211" s="155" t="s">
        <v>16</v>
      </c>
      <c r="I211" s="155" t="str">
        <f>VLOOKUP(H211,Sheet4!A:B,2,)</f>
        <v>GLOSS BLACK</v>
      </c>
      <c r="J211" s="25">
        <v>1</v>
      </c>
    </row>
    <row r="212" s="6" customFormat="1" ht="21" customHeight="1" spans="1:10">
      <c r="A212" s="7"/>
      <c r="B212" s="134" t="s">
        <v>949</v>
      </c>
      <c r="C212" s="65" t="s">
        <v>928</v>
      </c>
      <c r="D212" s="142" t="s">
        <v>12</v>
      </c>
      <c r="E212" s="65" t="s">
        <v>208</v>
      </c>
      <c r="F212" s="142">
        <v>25</v>
      </c>
      <c r="G212" s="65">
        <v>66.56</v>
      </c>
      <c r="H212" s="142" t="s">
        <v>159</v>
      </c>
      <c r="I212" s="142" t="str">
        <f>VLOOKUP(H212,Sheet4!A:B,2,)</f>
        <v>MATTE BLACK</v>
      </c>
      <c r="J212" s="21">
        <f>4+2-4-2+8-2+2-2+4+2-2-2-4+4-4-4+2-2</f>
        <v>0</v>
      </c>
    </row>
    <row r="213" s="6" customFormat="1" ht="21" customHeight="1" spans="1:10">
      <c r="A213" s="7"/>
      <c r="B213" s="134" t="s">
        <v>949</v>
      </c>
      <c r="C213" s="65" t="s">
        <v>928</v>
      </c>
      <c r="D213" s="142" t="s">
        <v>814</v>
      </c>
      <c r="E213" s="65" t="s">
        <v>208</v>
      </c>
      <c r="F213" s="142">
        <v>35</v>
      </c>
      <c r="G213" s="65">
        <v>66.56</v>
      </c>
      <c r="H213" s="142" t="s">
        <v>159</v>
      </c>
      <c r="I213" s="142" t="str">
        <f>VLOOKUP(H213,Sheet4!A:B,2,)</f>
        <v>MATTE BLACK</v>
      </c>
      <c r="J213" s="21">
        <f>4-2+2-2+2-2-2+2-2</f>
        <v>0</v>
      </c>
    </row>
    <row r="214" s="6" customFormat="1" ht="21" customHeight="1" spans="1:10">
      <c r="A214" s="7"/>
      <c r="B214" s="134" t="s">
        <v>950</v>
      </c>
      <c r="C214" s="65" t="s">
        <v>928</v>
      </c>
      <c r="D214" s="142" t="s">
        <v>12</v>
      </c>
      <c r="E214" s="65" t="s">
        <v>13</v>
      </c>
      <c r="F214" s="142">
        <v>30</v>
      </c>
      <c r="G214" s="65">
        <v>72.56</v>
      </c>
      <c r="H214" s="142" t="s">
        <v>159</v>
      </c>
      <c r="I214" s="142" t="str">
        <f>VLOOKUP(H214,Sheet4!A:B,2,)</f>
        <v>MATTE BLACK</v>
      </c>
      <c r="J214" s="21">
        <f>4-4+4-4+4+4-4+4-4-4+6-2+2-2-4</f>
        <v>0</v>
      </c>
    </row>
    <row r="215" s="6" customFormat="1" ht="21" customHeight="1" spans="1:10">
      <c r="A215" s="7"/>
      <c r="B215" s="134" t="s">
        <v>950</v>
      </c>
      <c r="C215" s="65" t="s">
        <v>928</v>
      </c>
      <c r="D215" s="142" t="s">
        <v>814</v>
      </c>
      <c r="E215" s="65" t="s">
        <v>13</v>
      </c>
      <c r="F215" s="142">
        <v>35</v>
      </c>
      <c r="G215" s="65">
        <v>72.56</v>
      </c>
      <c r="H215" s="142" t="s">
        <v>159</v>
      </c>
      <c r="I215" s="142" t="str">
        <f>VLOOKUP(H215,Sheet4!A:B,2,)</f>
        <v>MATTE BLACK</v>
      </c>
      <c r="J215" s="21">
        <f>4-4+4-4+4+4-4+4-4-4+2-2+2-2</f>
        <v>0</v>
      </c>
    </row>
    <row r="216" s="6" customFormat="1" ht="21" customHeight="1" spans="1:10">
      <c r="A216" s="7"/>
      <c r="B216" s="134" t="s">
        <v>951</v>
      </c>
      <c r="C216" s="65" t="s">
        <v>928</v>
      </c>
      <c r="D216" s="142" t="s">
        <v>23</v>
      </c>
      <c r="E216" s="65" t="s">
        <v>13</v>
      </c>
      <c r="F216" s="142">
        <v>30</v>
      </c>
      <c r="G216" s="65">
        <v>72.56</v>
      </c>
      <c r="H216" s="142" t="s">
        <v>159</v>
      </c>
      <c r="I216" s="142" t="str">
        <f>VLOOKUP(H216,Sheet4!A:B,2,)</f>
        <v>MATTE BLACK</v>
      </c>
      <c r="J216" s="21">
        <f>2+2-2-2+2-2+2</f>
        <v>2</v>
      </c>
    </row>
    <row r="217" s="6" customFormat="1" ht="21" customHeight="1" spans="1:10">
      <c r="A217" s="7"/>
      <c r="B217" s="134" t="s">
        <v>951</v>
      </c>
      <c r="C217" s="65" t="s">
        <v>928</v>
      </c>
      <c r="D217" s="142" t="s">
        <v>482</v>
      </c>
      <c r="E217" s="65" t="s">
        <v>13</v>
      </c>
      <c r="F217" s="142">
        <v>38</v>
      </c>
      <c r="G217" s="65">
        <v>72.56</v>
      </c>
      <c r="H217" s="142" t="s">
        <v>159</v>
      </c>
      <c r="I217" s="142" t="str">
        <f>VLOOKUP(H217,Sheet4!A:B,2,)</f>
        <v>MATTE BLACK</v>
      </c>
      <c r="J217" s="21">
        <f>2+2-2-2+2-2+2</f>
        <v>2</v>
      </c>
    </row>
    <row r="218" s="6" customFormat="1" ht="21" customHeight="1" spans="1:10">
      <c r="A218" s="7"/>
      <c r="B218" s="134" t="s">
        <v>952</v>
      </c>
      <c r="C218" s="65" t="s">
        <v>928</v>
      </c>
      <c r="D218" s="142" t="s">
        <v>23</v>
      </c>
      <c r="E218" s="65" t="s">
        <v>208</v>
      </c>
      <c r="F218" s="142">
        <v>25</v>
      </c>
      <c r="G218" s="65">
        <v>66.56</v>
      </c>
      <c r="H218" s="142" t="s">
        <v>159</v>
      </c>
      <c r="I218" s="142" t="str">
        <f>VLOOKUP(H218,Sheet4!A:B,2,)</f>
        <v>MATTE BLACK</v>
      </c>
      <c r="J218" s="21">
        <f>2-2+4-2+2-2+2-2-2+4</f>
        <v>4</v>
      </c>
    </row>
    <row r="219" s="6" customFormat="1" ht="21" customHeight="1" spans="1:10">
      <c r="A219" s="80"/>
      <c r="B219" s="155" t="s">
        <v>952</v>
      </c>
      <c r="C219" s="68" t="s">
        <v>928</v>
      </c>
      <c r="D219" s="146" t="s">
        <v>482</v>
      </c>
      <c r="E219" s="68" t="s">
        <v>208</v>
      </c>
      <c r="F219" s="146">
        <v>35</v>
      </c>
      <c r="G219" s="68">
        <v>66.56</v>
      </c>
      <c r="H219" s="146" t="s">
        <v>159</v>
      </c>
      <c r="I219" s="146" t="str">
        <f>VLOOKUP(H219,Sheet4!A:B,2,)</f>
        <v>MATTE BLACK</v>
      </c>
      <c r="J219" s="25">
        <f>2-2+4-2+2-2+2-2-2+4</f>
        <v>4</v>
      </c>
    </row>
    <row r="220" s="6" customFormat="1" ht="20" customHeight="1" spans="1:10">
      <c r="A220" s="298"/>
      <c r="B220" s="53" t="s">
        <v>953</v>
      </c>
      <c r="C220" s="54" t="s">
        <v>954</v>
      </c>
      <c r="D220" s="54" t="s">
        <v>12</v>
      </c>
      <c r="E220" s="54" t="s">
        <v>208</v>
      </c>
      <c r="F220" s="54">
        <v>30</v>
      </c>
      <c r="G220" s="54">
        <v>66.56</v>
      </c>
      <c r="H220" s="54" t="s">
        <v>21</v>
      </c>
      <c r="I220" s="54" t="str">
        <f>VLOOKUP(H220,Sheet4!A:B,2,)</f>
        <v>Black Machine Face</v>
      </c>
      <c r="J220" s="55">
        <f>4+8-2-4+4-4-4-1+4-4+4-4+4-4+8+4-4-4</f>
        <v>5</v>
      </c>
    </row>
    <row r="221" s="6" customFormat="1" ht="20" customHeight="1" spans="1:10">
      <c r="A221" s="7"/>
      <c r="B221" s="19" t="s">
        <v>955</v>
      </c>
      <c r="C221" s="20" t="s">
        <v>954</v>
      </c>
      <c r="D221" s="20" t="s">
        <v>12</v>
      </c>
      <c r="E221" s="20" t="s">
        <v>13</v>
      </c>
      <c r="F221" s="20">
        <v>30</v>
      </c>
      <c r="G221" s="20">
        <v>72.56</v>
      </c>
      <c r="H221" s="20" t="s">
        <v>21</v>
      </c>
      <c r="I221" s="20" t="str">
        <f>VLOOKUP(H221,Sheet4!A:B,2,)</f>
        <v>Black Machine Face</v>
      </c>
      <c r="J221" s="42">
        <f>4+8-4-4-4+4-4+4-4+4-4</f>
        <v>0</v>
      </c>
    </row>
    <row r="222" s="278" customFormat="1" ht="20" customHeight="1" spans="1:10">
      <c r="A222" s="7"/>
      <c r="B222" s="19" t="s">
        <v>956</v>
      </c>
      <c r="C222" s="20" t="s">
        <v>954</v>
      </c>
      <c r="D222" s="20" t="s">
        <v>23</v>
      </c>
      <c r="E222" s="20" t="s">
        <v>208</v>
      </c>
      <c r="F222" s="20">
        <v>25</v>
      </c>
      <c r="G222" s="20">
        <v>66.56</v>
      </c>
      <c r="H222" s="20" t="s">
        <v>21</v>
      </c>
      <c r="I222" s="20" t="str">
        <f>VLOOKUP(H222,Sheet4!A:B,2,)</f>
        <v>Black Machine Face</v>
      </c>
      <c r="J222" s="42">
        <f>2+1-2+2-2+2-2+2-2+4-2+2-2-2+2+2-2+2-2</f>
        <v>3</v>
      </c>
    </row>
    <row r="223" s="278" customFormat="1" ht="20" customHeight="1" spans="1:10">
      <c r="A223" s="7"/>
      <c r="B223" s="19" t="s">
        <v>956</v>
      </c>
      <c r="C223" s="20" t="s">
        <v>954</v>
      </c>
      <c r="D223" s="20" t="s">
        <v>482</v>
      </c>
      <c r="E223" s="20" t="s">
        <v>208</v>
      </c>
      <c r="F223" s="20">
        <v>35</v>
      </c>
      <c r="G223" s="20">
        <v>66.56</v>
      </c>
      <c r="H223" s="20" t="s">
        <v>21</v>
      </c>
      <c r="I223" s="20" t="str">
        <f>VLOOKUP(H223,Sheet4!A:B,2,)</f>
        <v>Black Machine Face</v>
      </c>
      <c r="J223" s="42">
        <f>2-2+2-2+2-2+2-2+4-2+2-2-2+2+2-2+2-2</f>
        <v>2</v>
      </c>
    </row>
    <row r="224" s="278" customFormat="1" ht="20" customHeight="1" spans="1:10">
      <c r="A224" s="7"/>
      <c r="B224" s="19" t="s">
        <v>957</v>
      </c>
      <c r="C224" s="20" t="s">
        <v>954</v>
      </c>
      <c r="D224" s="20" t="s">
        <v>29</v>
      </c>
      <c r="E224" s="20" t="s">
        <v>208</v>
      </c>
      <c r="F224" s="20">
        <v>25</v>
      </c>
      <c r="G224" s="20">
        <v>66.56</v>
      </c>
      <c r="H224" s="20" t="s">
        <v>21</v>
      </c>
      <c r="I224" s="20" t="str">
        <f>VLOOKUP(H224,Sheet4!A:B,2,)</f>
        <v>Black Machine Face</v>
      </c>
      <c r="J224" s="42">
        <f>2-2+2-2+2+2-2-2</f>
        <v>0</v>
      </c>
    </row>
    <row r="225" s="278" customFormat="1" ht="20" customHeight="1" spans="1:10">
      <c r="A225" s="80"/>
      <c r="B225" s="23" t="s">
        <v>957</v>
      </c>
      <c r="C225" s="24" t="s">
        <v>954</v>
      </c>
      <c r="D225" s="24" t="s">
        <v>225</v>
      </c>
      <c r="E225" s="24" t="s">
        <v>208</v>
      </c>
      <c r="F225" s="24">
        <v>35</v>
      </c>
      <c r="G225" s="24">
        <v>66.56</v>
      </c>
      <c r="H225" s="24" t="s">
        <v>21</v>
      </c>
      <c r="I225" s="24" t="str">
        <f>VLOOKUP(H225,Sheet4!A:B,2,)</f>
        <v>Black Machine Face</v>
      </c>
      <c r="J225" s="43">
        <f>2-2+2-2+2+2-2-2</f>
        <v>0</v>
      </c>
    </row>
    <row r="226" s="6" customFormat="1" ht="21" customHeight="1" spans="1:10">
      <c r="A226" s="7"/>
      <c r="B226" s="134" t="s">
        <v>958</v>
      </c>
      <c r="C226" s="65" t="s">
        <v>954</v>
      </c>
      <c r="D226" s="142" t="s">
        <v>12</v>
      </c>
      <c r="E226" s="65" t="s">
        <v>208</v>
      </c>
      <c r="F226" s="142">
        <v>30</v>
      </c>
      <c r="G226" s="65">
        <v>66.56</v>
      </c>
      <c r="H226" s="142" t="s">
        <v>21</v>
      </c>
      <c r="I226" s="142" t="str">
        <f>VLOOKUP(H226,Sheet4!A:B,2,)</f>
        <v>Black Machine Face</v>
      </c>
      <c r="J226" s="21">
        <v>0</v>
      </c>
    </row>
    <row r="227" s="6" customFormat="1" ht="21" customHeight="1" spans="1:10">
      <c r="A227" s="7"/>
      <c r="B227" s="134" t="s">
        <v>959</v>
      </c>
      <c r="C227" s="65" t="s">
        <v>954</v>
      </c>
      <c r="D227" s="142" t="s">
        <v>12</v>
      </c>
      <c r="E227" s="65" t="s">
        <v>13</v>
      </c>
      <c r="F227" s="142">
        <v>30</v>
      </c>
      <c r="G227" s="65">
        <v>72.56</v>
      </c>
      <c r="H227" s="142" t="s">
        <v>21</v>
      </c>
      <c r="I227" s="142" t="str">
        <f>VLOOKUP(H227,Sheet4!A:B,2,)</f>
        <v>Black Machine Face</v>
      </c>
      <c r="J227" s="21">
        <v>0</v>
      </c>
    </row>
    <row r="228" s="6" customFormat="1" ht="21" customHeight="1" spans="1:10">
      <c r="A228" s="7"/>
      <c r="B228" s="134" t="s">
        <v>960</v>
      </c>
      <c r="C228" s="65" t="s">
        <v>954</v>
      </c>
      <c r="D228" s="142" t="s">
        <v>23</v>
      </c>
      <c r="E228" s="65" t="s">
        <v>208</v>
      </c>
      <c r="F228" s="142">
        <v>30</v>
      </c>
      <c r="G228" s="148">
        <v>66.45</v>
      </c>
      <c r="H228" s="142" t="s">
        <v>21</v>
      </c>
      <c r="I228" s="142" t="str">
        <f>VLOOKUP(H228,Sheet4!A:B,2,)</f>
        <v>Black Machine Face</v>
      </c>
      <c r="J228" s="21">
        <v>0</v>
      </c>
    </row>
    <row r="229" s="6" customFormat="1" ht="21" customHeight="1" spans="1:10">
      <c r="A229" s="7"/>
      <c r="B229" s="134" t="s">
        <v>960</v>
      </c>
      <c r="C229" s="65" t="s">
        <v>954</v>
      </c>
      <c r="D229" s="142" t="s">
        <v>482</v>
      </c>
      <c r="E229" s="65" t="s">
        <v>208</v>
      </c>
      <c r="F229" s="142">
        <v>38</v>
      </c>
      <c r="G229" s="148">
        <v>66.45</v>
      </c>
      <c r="H229" s="142" t="s">
        <v>21</v>
      </c>
      <c r="I229" s="142" t="str">
        <f>VLOOKUP(H229,Sheet4!A:B,2,)</f>
        <v>Black Machine Face</v>
      </c>
      <c r="J229" s="21">
        <v>0</v>
      </c>
    </row>
    <row r="230" s="6" customFormat="1" ht="21" customHeight="1" spans="1:10">
      <c r="A230" s="7"/>
      <c r="B230" s="134" t="s">
        <v>961</v>
      </c>
      <c r="C230" s="65" t="s">
        <v>954</v>
      </c>
      <c r="D230" s="142" t="s">
        <v>23</v>
      </c>
      <c r="E230" s="65" t="s">
        <v>13</v>
      </c>
      <c r="F230" s="142">
        <v>30</v>
      </c>
      <c r="G230" s="65">
        <v>72.56</v>
      </c>
      <c r="H230" s="142" t="s">
        <v>21</v>
      </c>
      <c r="I230" s="142" t="str">
        <f>VLOOKUP(H230,Sheet4!A:B,2,)</f>
        <v>Black Machine Face</v>
      </c>
      <c r="J230" s="21">
        <v>0</v>
      </c>
    </row>
    <row r="231" s="6" customFormat="1" ht="21" customHeight="1" spans="1:10">
      <c r="A231" s="80"/>
      <c r="B231" s="155" t="s">
        <v>961</v>
      </c>
      <c r="C231" s="68" t="s">
        <v>954</v>
      </c>
      <c r="D231" s="146" t="s">
        <v>482</v>
      </c>
      <c r="E231" s="68" t="s">
        <v>13</v>
      </c>
      <c r="F231" s="146">
        <v>38</v>
      </c>
      <c r="G231" s="68">
        <v>72.56</v>
      </c>
      <c r="H231" s="146" t="s">
        <v>21</v>
      </c>
      <c r="I231" s="146" t="str">
        <f>VLOOKUP(H231,Sheet4!A:B,2,)</f>
        <v>Black Machine Face</v>
      </c>
      <c r="J231" s="25">
        <v>0</v>
      </c>
    </row>
    <row r="232" s="6" customFormat="1" ht="31" customHeight="1" spans="1:10">
      <c r="A232" s="7"/>
      <c r="B232" s="19" t="s">
        <v>962</v>
      </c>
      <c r="C232" s="20" t="s">
        <v>954</v>
      </c>
      <c r="D232" s="20" t="s">
        <v>12</v>
      </c>
      <c r="E232" s="20" t="s">
        <v>208</v>
      </c>
      <c r="F232" s="20">
        <v>30</v>
      </c>
      <c r="G232" s="20">
        <v>66.56</v>
      </c>
      <c r="H232" s="20" t="s">
        <v>21</v>
      </c>
      <c r="I232" s="20" t="str">
        <f>VLOOKUP(H232,Sheet4!A:B,2,)</f>
        <v>Black Machine Face</v>
      </c>
      <c r="J232" s="42">
        <v>0</v>
      </c>
    </row>
    <row r="233" s="6" customFormat="1" ht="31" customHeight="1" spans="1:10">
      <c r="A233" s="7"/>
      <c r="B233" s="19" t="s">
        <v>963</v>
      </c>
      <c r="C233" s="20" t="s">
        <v>954</v>
      </c>
      <c r="D233" s="20" t="s">
        <v>12</v>
      </c>
      <c r="E233" s="20" t="s">
        <v>13</v>
      </c>
      <c r="F233" s="20">
        <v>30</v>
      </c>
      <c r="G233" s="20">
        <v>72.56</v>
      </c>
      <c r="H233" s="20" t="s">
        <v>21</v>
      </c>
      <c r="I233" s="20" t="str">
        <f>VLOOKUP(H233,Sheet4!A:B,2,)</f>
        <v>Black Machine Face</v>
      </c>
      <c r="J233" s="42">
        <f>4-4</f>
        <v>0</v>
      </c>
    </row>
    <row r="234" s="6" customFormat="1" ht="31" customHeight="1" spans="1:10">
      <c r="A234" s="7"/>
      <c r="B234" s="19" t="s">
        <v>964</v>
      </c>
      <c r="C234" s="20" t="s">
        <v>954</v>
      </c>
      <c r="D234" s="20" t="s">
        <v>23</v>
      </c>
      <c r="E234" s="20" t="s">
        <v>208</v>
      </c>
      <c r="F234" s="20">
        <v>25</v>
      </c>
      <c r="G234" s="20">
        <v>66.56</v>
      </c>
      <c r="H234" s="20" t="s">
        <v>21</v>
      </c>
      <c r="I234" s="20" t="str">
        <f>VLOOKUP(H234,Sheet4!A:B,2,)</f>
        <v>Black Machine Face</v>
      </c>
      <c r="J234" s="42">
        <f>4-2-2+6-2-2-2+2-2+4-2-2+2-2+2-2+6-2-2-2</f>
        <v>0</v>
      </c>
    </row>
    <row r="235" s="6" customFormat="1" ht="31" customHeight="1" spans="1:10">
      <c r="A235" s="80"/>
      <c r="B235" s="23" t="s">
        <v>964</v>
      </c>
      <c r="C235" s="24" t="s">
        <v>954</v>
      </c>
      <c r="D235" s="24" t="s">
        <v>482</v>
      </c>
      <c r="E235" s="24" t="s">
        <v>208</v>
      </c>
      <c r="F235" s="24">
        <v>35</v>
      </c>
      <c r="G235" s="24">
        <v>66.56</v>
      </c>
      <c r="H235" s="24" t="s">
        <v>21</v>
      </c>
      <c r="I235" s="24" t="str">
        <f>VLOOKUP(H235,Sheet4!A:B,2,)</f>
        <v>Black Machine Face</v>
      </c>
      <c r="J235" s="43">
        <f>4-2-2+6-2-2-2+2-2+4-2-1+1-2+2-2+2-2+6-2-2-2</f>
        <v>0</v>
      </c>
    </row>
    <row r="236" s="6" customFormat="1" ht="22" customHeight="1" spans="1:10">
      <c r="A236" s="7"/>
      <c r="B236" s="19" t="s">
        <v>965</v>
      </c>
      <c r="C236" s="20" t="s">
        <v>966</v>
      </c>
      <c r="D236" s="20" t="s">
        <v>12</v>
      </c>
      <c r="E236" s="20" t="s">
        <v>13</v>
      </c>
      <c r="F236" s="20">
        <v>30</v>
      </c>
      <c r="G236" s="20">
        <v>72.56</v>
      </c>
      <c r="H236" s="20" t="s">
        <v>21</v>
      </c>
      <c r="I236" s="20" t="str">
        <f>VLOOKUP(H236,Sheet4!A:B,2,)</f>
        <v>Black Machine Face</v>
      </c>
      <c r="J236" s="42">
        <f>4-4+8-4-4+4-4+4-4+4</f>
        <v>4</v>
      </c>
    </row>
    <row r="237" s="6" customFormat="1" ht="22" customHeight="1" spans="1:10">
      <c r="A237" s="7"/>
      <c r="B237" s="19" t="s">
        <v>967</v>
      </c>
      <c r="C237" s="20" t="s">
        <v>966</v>
      </c>
      <c r="D237" s="20" t="s">
        <v>12</v>
      </c>
      <c r="E237" s="20" t="s">
        <v>208</v>
      </c>
      <c r="F237" s="20">
        <v>30</v>
      </c>
      <c r="G237" s="20">
        <v>66.56</v>
      </c>
      <c r="H237" s="20" t="s">
        <v>21</v>
      </c>
      <c r="I237" s="20" t="str">
        <f>VLOOKUP(H237,Sheet4!A:B,2,)</f>
        <v>Black Machine Face</v>
      </c>
      <c r="J237" s="42">
        <f>8-4-4+8-4-4+4-4+4+4+8-4-4+4-4-4-4</f>
        <v>0</v>
      </c>
    </row>
    <row r="238" s="6" customFormat="1" ht="22" customHeight="1" spans="1:10">
      <c r="A238" s="7"/>
      <c r="B238" s="19" t="s">
        <v>968</v>
      </c>
      <c r="C238" s="20" t="s">
        <v>966</v>
      </c>
      <c r="D238" s="20" t="s">
        <v>23</v>
      </c>
      <c r="E238" s="20" t="s">
        <v>13</v>
      </c>
      <c r="F238" s="20">
        <v>30</v>
      </c>
      <c r="G238" s="20">
        <v>72.56</v>
      </c>
      <c r="H238" s="20" t="s">
        <v>21</v>
      </c>
      <c r="I238" s="20" t="str">
        <f>VLOOKUP(H238,Sheet4!A:B,2,)</f>
        <v>Black Machine Face</v>
      </c>
      <c r="J238" s="42">
        <f>2-2+4-2-2+2</f>
        <v>2</v>
      </c>
    </row>
    <row r="239" s="6" customFormat="1" ht="22" customHeight="1" spans="1:10">
      <c r="A239" s="7"/>
      <c r="B239" s="19" t="s">
        <v>968</v>
      </c>
      <c r="C239" s="20" t="s">
        <v>966</v>
      </c>
      <c r="D239" s="20" t="s">
        <v>482</v>
      </c>
      <c r="E239" s="20" t="s">
        <v>13</v>
      </c>
      <c r="F239" s="20">
        <v>38</v>
      </c>
      <c r="G239" s="20">
        <v>72.56</v>
      </c>
      <c r="H239" s="20" t="s">
        <v>21</v>
      </c>
      <c r="I239" s="20" t="str">
        <f>VLOOKUP(H239,Sheet4!A:B,2,)</f>
        <v>Black Machine Face</v>
      </c>
      <c r="J239" s="42">
        <f>2-2+4-2-2+2</f>
        <v>2</v>
      </c>
    </row>
    <row r="240" s="6" customFormat="1" ht="22" customHeight="1" spans="1:10">
      <c r="A240" s="7"/>
      <c r="B240" s="19" t="s">
        <v>969</v>
      </c>
      <c r="C240" s="20" t="s">
        <v>966</v>
      </c>
      <c r="D240" s="20" t="s">
        <v>23</v>
      </c>
      <c r="E240" s="20" t="s">
        <v>208</v>
      </c>
      <c r="F240" s="20">
        <v>30</v>
      </c>
      <c r="G240" s="20">
        <v>66.56</v>
      </c>
      <c r="H240" s="20" t="s">
        <v>21</v>
      </c>
      <c r="I240" s="20" t="str">
        <f>VLOOKUP(H240,Sheet4!A:B,2,)</f>
        <v>Black Machine Face</v>
      </c>
      <c r="J240" s="42">
        <f>4-2-2+4-2-2</f>
        <v>0</v>
      </c>
    </row>
    <row r="241" s="6" customFormat="1" ht="22" customHeight="1" spans="1:10">
      <c r="A241" s="80"/>
      <c r="B241" s="23" t="s">
        <v>969</v>
      </c>
      <c r="C241" s="24" t="s">
        <v>966</v>
      </c>
      <c r="D241" s="24" t="s">
        <v>482</v>
      </c>
      <c r="E241" s="24" t="s">
        <v>208</v>
      </c>
      <c r="F241" s="24">
        <v>35</v>
      </c>
      <c r="G241" s="24">
        <v>66.56</v>
      </c>
      <c r="H241" s="24" t="s">
        <v>21</v>
      </c>
      <c r="I241" s="24" t="str">
        <f>VLOOKUP(H241,Sheet4!A:B,2,)</f>
        <v>Black Machine Face</v>
      </c>
      <c r="J241" s="43">
        <f>4-2-2+4-2-2</f>
        <v>0</v>
      </c>
    </row>
    <row r="242" s="197" customFormat="1" ht="44" customHeight="1" spans="1:10">
      <c r="A242" s="257"/>
      <c r="B242" s="19" t="s">
        <v>970</v>
      </c>
      <c r="C242" s="19" t="s">
        <v>971</v>
      </c>
      <c r="D242" s="20" t="s">
        <v>12</v>
      </c>
      <c r="E242" s="20" t="s">
        <v>208</v>
      </c>
      <c r="F242" s="20">
        <v>40</v>
      </c>
      <c r="G242" s="20">
        <v>66.56</v>
      </c>
      <c r="H242" s="20" t="s">
        <v>21</v>
      </c>
      <c r="I242" s="20" t="str">
        <f>VLOOKUP(H242,Sheet4!A:B,2,)</f>
        <v>Black Machine Face</v>
      </c>
      <c r="J242" s="21">
        <f>4-4+4+4-4-4+8-4-4+4-4+4+8-4</f>
        <v>8</v>
      </c>
    </row>
    <row r="243" s="197" customFormat="1" ht="44" customHeight="1" spans="1:10">
      <c r="A243" s="257"/>
      <c r="B243" s="19" t="s">
        <v>972</v>
      </c>
      <c r="C243" s="19" t="s">
        <v>971</v>
      </c>
      <c r="D243" s="20" t="s">
        <v>23</v>
      </c>
      <c r="E243" s="20" t="s">
        <v>208</v>
      </c>
      <c r="F243" s="20">
        <v>45</v>
      </c>
      <c r="G243" s="20">
        <v>66.56</v>
      </c>
      <c r="H243" s="20" t="s">
        <v>21</v>
      </c>
      <c r="I243" s="20" t="str">
        <f>VLOOKUP(H243,Sheet4!A:B,2,)</f>
        <v>Black Machine Face</v>
      </c>
      <c r="J243" s="21">
        <f>4-4+8-4-4+8+4-4-4-4+12</f>
        <v>12</v>
      </c>
    </row>
    <row r="244" s="197" customFormat="1" ht="44" customHeight="1" spans="1:10">
      <c r="A244" s="258"/>
      <c r="B244" s="23" t="s">
        <v>973</v>
      </c>
      <c r="C244" s="23" t="s">
        <v>971</v>
      </c>
      <c r="D244" s="24" t="s">
        <v>29</v>
      </c>
      <c r="E244" s="24" t="s">
        <v>208</v>
      </c>
      <c r="F244" s="24">
        <v>45</v>
      </c>
      <c r="G244" s="24">
        <v>66.56</v>
      </c>
      <c r="H244" s="24" t="s">
        <v>21</v>
      </c>
      <c r="I244" s="24" t="str">
        <f>VLOOKUP(H244,Sheet4!A:B,2,)</f>
        <v>Black Machine Face</v>
      </c>
      <c r="J244" s="25">
        <f>8-4-4+8-8+4-4</f>
        <v>0</v>
      </c>
    </row>
    <row r="245" s="197" customFormat="1" ht="56" customHeight="1" spans="1:10">
      <c r="A245" s="201"/>
      <c r="B245" s="19" t="s">
        <v>974</v>
      </c>
      <c r="C245" s="20" t="s">
        <v>971</v>
      </c>
      <c r="D245" s="20" t="s">
        <v>23</v>
      </c>
      <c r="E245" s="20" t="s">
        <v>208</v>
      </c>
      <c r="F245" s="20">
        <v>45</v>
      </c>
      <c r="G245" s="20">
        <v>66.56</v>
      </c>
      <c r="H245" s="20" t="s">
        <v>790</v>
      </c>
      <c r="I245" s="20" t="str">
        <f>VLOOKUP(H245,Sheet4!A:B,2,)</f>
        <v>MATTE Black Machine Face</v>
      </c>
      <c r="J245" s="21">
        <f>8+4-4-4-4+4</f>
        <v>4</v>
      </c>
    </row>
    <row r="246" s="197" customFormat="1" ht="52" customHeight="1" spans="1:10">
      <c r="A246" s="206"/>
      <c r="B246" s="23" t="s">
        <v>975</v>
      </c>
      <c r="C246" s="24" t="s">
        <v>971</v>
      </c>
      <c r="D246" s="24" t="s">
        <v>29</v>
      </c>
      <c r="E246" s="24" t="s">
        <v>208</v>
      </c>
      <c r="F246" s="24">
        <v>45</v>
      </c>
      <c r="G246" s="24">
        <v>66.56</v>
      </c>
      <c r="H246" s="24" t="s">
        <v>790</v>
      </c>
      <c r="I246" s="24" t="str">
        <f>VLOOKUP(H246,Sheet4!A:B,2,)</f>
        <v>MATTE Black Machine Face</v>
      </c>
      <c r="J246" s="25">
        <f>8-4-4</f>
        <v>0</v>
      </c>
    </row>
    <row r="247" s="197" customFormat="1" ht="109" customHeight="1" spans="1:10">
      <c r="A247" s="206"/>
      <c r="B247" s="23" t="s">
        <v>976</v>
      </c>
      <c r="C247" s="24" t="s">
        <v>977</v>
      </c>
      <c r="D247" s="24" t="s">
        <v>23</v>
      </c>
      <c r="E247" s="24" t="s">
        <v>208</v>
      </c>
      <c r="F247" s="24">
        <v>25</v>
      </c>
      <c r="G247" s="24">
        <v>66.56</v>
      </c>
      <c r="H247" s="24" t="s">
        <v>21</v>
      </c>
      <c r="I247" s="24" t="str">
        <f>VLOOKUP(H247,Sheet4!A:B,2,)</f>
        <v>Black Machine Face</v>
      </c>
      <c r="J247" s="25">
        <f>4+8-4-4-4+20-4</f>
        <v>16</v>
      </c>
    </row>
    <row r="248" s="6" customFormat="1" ht="63" customHeight="1" spans="1:10">
      <c r="A248" s="7"/>
      <c r="B248" s="19" t="s">
        <v>978</v>
      </c>
      <c r="C248" s="20" t="s">
        <v>977</v>
      </c>
      <c r="D248" s="20" t="s">
        <v>29</v>
      </c>
      <c r="E248" s="20" t="s">
        <v>208</v>
      </c>
      <c r="F248" s="20">
        <v>25</v>
      </c>
      <c r="G248" s="20">
        <v>66.5</v>
      </c>
      <c r="H248" s="20" t="s">
        <v>36</v>
      </c>
      <c r="I248" s="20" t="str">
        <f>VLOOKUP(H248,Sheet4!A:B,2,)</f>
        <v>Black Machine Face</v>
      </c>
      <c r="J248" s="42">
        <f>2+2</f>
        <v>4</v>
      </c>
    </row>
    <row r="249" s="6" customFormat="1" ht="63" customHeight="1" spans="1:10">
      <c r="A249" s="80"/>
      <c r="B249" s="23" t="s">
        <v>978</v>
      </c>
      <c r="C249" s="24" t="s">
        <v>977</v>
      </c>
      <c r="D249" s="24" t="s">
        <v>225</v>
      </c>
      <c r="E249" s="24" t="s">
        <v>208</v>
      </c>
      <c r="F249" s="24">
        <v>35</v>
      </c>
      <c r="G249" s="24">
        <v>66.5</v>
      </c>
      <c r="H249" s="24" t="s">
        <v>36</v>
      </c>
      <c r="I249" s="24" t="str">
        <f>VLOOKUP(H249,Sheet4!A:B,2,)</f>
        <v>Black Machine Face</v>
      </c>
      <c r="J249" s="43">
        <f>2+2</f>
        <v>4</v>
      </c>
    </row>
    <row r="250" s="277" customFormat="1" ht="61" customHeight="1" spans="1:10">
      <c r="A250" s="296"/>
      <c r="B250" s="19" t="s">
        <v>979</v>
      </c>
      <c r="C250" s="20" t="s">
        <v>977</v>
      </c>
      <c r="D250" s="20" t="s">
        <v>39</v>
      </c>
      <c r="E250" s="20" t="s">
        <v>208</v>
      </c>
      <c r="F250" s="20">
        <v>24</v>
      </c>
      <c r="G250" s="20">
        <v>66.56</v>
      </c>
      <c r="H250" s="20" t="s">
        <v>424</v>
      </c>
      <c r="I250" s="20" t="str">
        <f>VLOOKUP(H250,Sheet4!A:B,2,)</f>
        <v>Black Machine+BLACK COATING</v>
      </c>
      <c r="J250" s="42">
        <v>0</v>
      </c>
    </row>
    <row r="251" s="277" customFormat="1" ht="61" customHeight="1" spans="1:10">
      <c r="A251" s="297"/>
      <c r="B251" s="23" t="s">
        <v>979</v>
      </c>
      <c r="C251" s="24" t="s">
        <v>977</v>
      </c>
      <c r="D251" s="24" t="s">
        <v>556</v>
      </c>
      <c r="E251" s="24" t="s">
        <v>208</v>
      </c>
      <c r="F251" s="24">
        <v>32</v>
      </c>
      <c r="G251" s="24">
        <v>66.56</v>
      </c>
      <c r="H251" s="24" t="s">
        <v>424</v>
      </c>
      <c r="I251" s="24" t="str">
        <f>VLOOKUP(H251,Sheet4!A:B,2,)</f>
        <v>Black Machine+BLACK COATING</v>
      </c>
      <c r="J251" s="43">
        <v>0</v>
      </c>
    </row>
    <row r="252" s="6" customFormat="1" ht="45" customHeight="1" spans="1:10">
      <c r="A252" s="7"/>
      <c r="B252" s="19" t="s">
        <v>980</v>
      </c>
      <c r="C252" s="20" t="s">
        <v>977</v>
      </c>
      <c r="D252" s="20" t="s">
        <v>23</v>
      </c>
      <c r="E252" s="20" t="s">
        <v>208</v>
      </c>
      <c r="F252" s="20">
        <v>25</v>
      </c>
      <c r="G252" s="20">
        <v>66.5</v>
      </c>
      <c r="H252" s="20" t="s">
        <v>87</v>
      </c>
      <c r="I252" s="66" t="str">
        <f>VLOOKUP(H252,Sheet4!A:B,2,)</f>
        <v>Gunmetal Machine Face</v>
      </c>
      <c r="J252" s="42">
        <f>4-4+4-4+8-4-4+4-4+12-4-4-4+4-4+8-4+12-4-4-4-4+4-4+4</f>
        <v>4</v>
      </c>
    </row>
    <row r="253" s="6" customFormat="1" ht="45" customHeight="1" spans="1:10">
      <c r="A253" s="7"/>
      <c r="B253" s="19" t="s">
        <v>981</v>
      </c>
      <c r="C253" s="20" t="s">
        <v>977</v>
      </c>
      <c r="D253" s="20" t="s">
        <v>29</v>
      </c>
      <c r="E253" s="20" t="s">
        <v>208</v>
      </c>
      <c r="F253" s="20">
        <v>25</v>
      </c>
      <c r="G253" s="20">
        <v>66.5</v>
      </c>
      <c r="H253" s="20" t="s">
        <v>87</v>
      </c>
      <c r="I253" s="66" t="str">
        <f>VLOOKUP(H253,Sheet4!A:B,2,)</f>
        <v>Gunmetal Machine Face</v>
      </c>
      <c r="J253" s="42">
        <v>0</v>
      </c>
    </row>
    <row r="254" s="6" customFormat="1" ht="45" customHeight="1" spans="1:10">
      <c r="A254" s="80"/>
      <c r="B254" s="23" t="s">
        <v>981</v>
      </c>
      <c r="C254" s="24" t="s">
        <v>977</v>
      </c>
      <c r="D254" s="24" t="s">
        <v>225</v>
      </c>
      <c r="E254" s="24" t="s">
        <v>208</v>
      </c>
      <c r="F254" s="24">
        <v>35</v>
      </c>
      <c r="G254" s="24">
        <v>66.5</v>
      </c>
      <c r="H254" s="24" t="s">
        <v>87</v>
      </c>
      <c r="I254" s="69" t="str">
        <f>VLOOKUP(H254,Sheet4!A:B,2,)</f>
        <v>Gunmetal Machine Face</v>
      </c>
      <c r="J254" s="43">
        <v>0</v>
      </c>
    </row>
    <row r="255" s="6" customFormat="1" ht="48" customHeight="1" spans="1:10">
      <c r="A255" s="78"/>
      <c r="B255" s="19" t="s">
        <v>982</v>
      </c>
      <c r="C255" s="20" t="s">
        <v>983</v>
      </c>
      <c r="D255" s="20" t="s">
        <v>39</v>
      </c>
      <c r="E255" s="20" t="s">
        <v>208</v>
      </c>
      <c r="F255" s="20">
        <v>35</v>
      </c>
      <c r="G255" s="20">
        <v>66.5</v>
      </c>
      <c r="H255" s="20" t="s">
        <v>16</v>
      </c>
      <c r="I255" s="20" t="str">
        <f>VLOOKUP(H255,Sheet4!A:B,2,)</f>
        <v>GLOSS BLACK</v>
      </c>
      <c r="J255" s="42">
        <f>4-2+2-2-2</f>
        <v>0</v>
      </c>
    </row>
    <row r="256" s="6" customFormat="1" ht="48" customHeight="1" spans="1:10">
      <c r="A256" s="79"/>
      <c r="B256" s="23" t="s">
        <v>982</v>
      </c>
      <c r="C256" s="24" t="s">
        <v>983</v>
      </c>
      <c r="D256" s="24" t="s">
        <v>493</v>
      </c>
      <c r="E256" s="24" t="s">
        <v>208</v>
      </c>
      <c r="F256" s="24">
        <v>38</v>
      </c>
      <c r="G256" s="24">
        <v>66.5</v>
      </c>
      <c r="H256" s="24" t="s">
        <v>16</v>
      </c>
      <c r="I256" s="24" t="str">
        <f>VLOOKUP(H256,Sheet4!A:B,2,)</f>
        <v>GLOSS BLACK</v>
      </c>
      <c r="J256" s="43">
        <f>4-2+2-2-2</f>
        <v>0</v>
      </c>
    </row>
    <row r="257" s="6" customFormat="1" ht="29" customHeight="1" spans="1:10">
      <c r="A257" s="7"/>
      <c r="B257" s="19" t="s">
        <v>984</v>
      </c>
      <c r="C257" s="20" t="s">
        <v>983</v>
      </c>
      <c r="D257" s="20" t="s">
        <v>225</v>
      </c>
      <c r="E257" s="20" t="s">
        <v>208</v>
      </c>
      <c r="F257" s="20">
        <v>35</v>
      </c>
      <c r="G257" s="20">
        <v>66.5</v>
      </c>
      <c r="H257" s="20" t="s">
        <v>21</v>
      </c>
      <c r="I257" s="20" t="str">
        <f>VLOOKUP(H257,Sheet4!A:B,2,)</f>
        <v>Black Machine Face</v>
      </c>
      <c r="J257" s="21">
        <f>4-2+2-2</f>
        <v>2</v>
      </c>
    </row>
    <row r="258" s="6" customFormat="1" ht="29" customHeight="1" spans="1:10">
      <c r="A258" s="7"/>
      <c r="B258" s="19" t="s">
        <v>984</v>
      </c>
      <c r="C258" s="20" t="s">
        <v>983</v>
      </c>
      <c r="D258" s="20" t="s">
        <v>487</v>
      </c>
      <c r="E258" s="20" t="s">
        <v>208</v>
      </c>
      <c r="F258" s="20">
        <v>38</v>
      </c>
      <c r="G258" s="20">
        <v>66.5</v>
      </c>
      <c r="H258" s="20" t="s">
        <v>21</v>
      </c>
      <c r="I258" s="20" t="str">
        <f>VLOOKUP(H258,Sheet4!A:B,2,)</f>
        <v>Black Machine Face</v>
      </c>
      <c r="J258" s="21">
        <f>4-2+2-2</f>
        <v>2</v>
      </c>
    </row>
    <row r="259" s="197" customFormat="1" ht="29" customHeight="1" spans="1:10">
      <c r="A259" s="7"/>
      <c r="B259" s="19" t="s">
        <v>985</v>
      </c>
      <c r="C259" s="20" t="s">
        <v>983</v>
      </c>
      <c r="D259" s="20" t="s">
        <v>39</v>
      </c>
      <c r="E259" s="20" t="s">
        <v>208</v>
      </c>
      <c r="F259" s="20">
        <v>35</v>
      </c>
      <c r="G259" s="20">
        <v>66.5</v>
      </c>
      <c r="H259" s="20" t="s">
        <v>21</v>
      </c>
      <c r="I259" s="20" t="str">
        <f>VLOOKUP(H259,Sheet4!A:B,2,)</f>
        <v>Black Machine Face</v>
      </c>
      <c r="J259" s="21">
        <f>2+2+4-2-2-2-2+2-2+4-2-2+6-4-2</f>
        <v>0</v>
      </c>
    </row>
    <row r="260" s="197" customFormat="1" ht="29" customHeight="1" spans="1:10">
      <c r="A260" s="80"/>
      <c r="B260" s="23" t="s">
        <v>985</v>
      </c>
      <c r="C260" s="24" t="s">
        <v>983</v>
      </c>
      <c r="D260" s="24" t="s">
        <v>493</v>
      </c>
      <c r="E260" s="24" t="s">
        <v>208</v>
      </c>
      <c r="F260" s="24">
        <v>38</v>
      </c>
      <c r="G260" s="24">
        <v>66.5</v>
      </c>
      <c r="H260" s="24" t="s">
        <v>21</v>
      </c>
      <c r="I260" s="24" t="str">
        <f>VLOOKUP(H260,Sheet4!A:B,2,)</f>
        <v>Black Machine Face</v>
      </c>
      <c r="J260" s="25">
        <f>2+2+4-2-2-2-2+2-2+4-2-2+6-4-2</f>
        <v>0</v>
      </c>
    </row>
    <row r="261" s="197" customFormat="1" ht="22" customHeight="1" spans="1:10">
      <c r="A261" s="257"/>
      <c r="B261" s="19" t="s">
        <v>986</v>
      </c>
      <c r="C261" s="20" t="s">
        <v>983</v>
      </c>
      <c r="D261" s="20" t="s">
        <v>225</v>
      </c>
      <c r="E261" s="20" t="s">
        <v>208</v>
      </c>
      <c r="F261" s="20">
        <v>37</v>
      </c>
      <c r="G261" s="20">
        <v>66.56</v>
      </c>
      <c r="H261" s="20" t="s">
        <v>439</v>
      </c>
      <c r="I261" s="20" t="str">
        <f>VLOOKUP(H261,Sheet4!A:B,2,)</f>
        <v>Gunmetal Machine Face</v>
      </c>
      <c r="J261" s="21">
        <f>2+2-2</f>
        <v>2</v>
      </c>
    </row>
    <row r="262" s="197" customFormat="1" ht="22" customHeight="1" spans="1:10">
      <c r="A262" s="257"/>
      <c r="B262" s="19" t="s">
        <v>986</v>
      </c>
      <c r="C262" s="20" t="s">
        <v>983</v>
      </c>
      <c r="D262" s="20" t="s">
        <v>487</v>
      </c>
      <c r="E262" s="20" t="s">
        <v>208</v>
      </c>
      <c r="F262" s="20">
        <v>43</v>
      </c>
      <c r="G262" s="20">
        <v>66.56</v>
      </c>
      <c r="H262" s="20" t="s">
        <v>439</v>
      </c>
      <c r="I262" s="20" t="str">
        <f>VLOOKUP(H262,Sheet4!A:B,2,)</f>
        <v>Gunmetal Machine Face</v>
      </c>
      <c r="J262" s="21">
        <f>2+2-2</f>
        <v>2</v>
      </c>
    </row>
    <row r="263" s="197" customFormat="1" ht="22" customHeight="1" spans="1:10">
      <c r="A263" s="257"/>
      <c r="B263" s="19" t="s">
        <v>987</v>
      </c>
      <c r="C263" s="20" t="s">
        <v>983</v>
      </c>
      <c r="D263" s="20" t="s">
        <v>39</v>
      </c>
      <c r="E263" s="20" t="s">
        <v>208</v>
      </c>
      <c r="F263" s="20">
        <v>37</v>
      </c>
      <c r="G263" s="20">
        <v>66.56</v>
      </c>
      <c r="H263" s="20" t="s">
        <v>439</v>
      </c>
      <c r="I263" s="20" t="str">
        <f>VLOOKUP(H263,Sheet4!A:B,2,)</f>
        <v>Gunmetal Machine Face</v>
      </c>
      <c r="J263" s="21">
        <f>4+2-2-2-2+4-2-2+2+4-2-2+2-2-2+6-2-2-2+2+4-2-2</f>
        <v>2</v>
      </c>
    </row>
    <row r="264" s="197" customFormat="1" ht="22" customHeight="1" spans="1:10">
      <c r="A264" s="257"/>
      <c r="B264" s="19" t="s">
        <v>987</v>
      </c>
      <c r="C264" s="20" t="s">
        <v>983</v>
      </c>
      <c r="D264" s="20" t="s">
        <v>493</v>
      </c>
      <c r="E264" s="20" t="s">
        <v>208</v>
      </c>
      <c r="F264" s="20">
        <v>43</v>
      </c>
      <c r="G264" s="20">
        <v>66.56</v>
      </c>
      <c r="H264" s="20" t="s">
        <v>439</v>
      </c>
      <c r="I264" s="20" t="str">
        <f>VLOOKUP(H264,Sheet4!A:B,2,)</f>
        <v>Gunmetal Machine Face</v>
      </c>
      <c r="J264" s="21">
        <f>4+2-2-2-2+4-2-2+2+4-2-2+2-2-2+6-2-2-2+2+4-2-2</f>
        <v>2</v>
      </c>
    </row>
    <row r="265" s="197" customFormat="1" ht="22" customHeight="1" spans="1:10">
      <c r="A265" s="257"/>
      <c r="B265" s="19" t="s">
        <v>988</v>
      </c>
      <c r="C265" s="20" t="s">
        <v>983</v>
      </c>
      <c r="D265" s="20" t="s">
        <v>34</v>
      </c>
      <c r="E265" s="20" t="s">
        <v>208</v>
      </c>
      <c r="F265" s="20">
        <v>37</v>
      </c>
      <c r="G265" s="20">
        <v>66.56</v>
      </c>
      <c r="H265" s="20" t="s">
        <v>989</v>
      </c>
      <c r="I265" s="20" t="e">
        <f>VLOOKUP(H265,Sheet4!A:B,2,)</f>
        <v>#N/A</v>
      </c>
      <c r="J265" s="21">
        <v>6</v>
      </c>
    </row>
    <row r="266" s="197" customFormat="1" ht="22" customHeight="1" spans="1:10">
      <c r="A266" s="258"/>
      <c r="B266" s="23" t="s">
        <v>988</v>
      </c>
      <c r="C266" s="24" t="s">
        <v>983</v>
      </c>
      <c r="D266" s="24" t="s">
        <v>990</v>
      </c>
      <c r="E266" s="24" t="s">
        <v>208</v>
      </c>
      <c r="F266" s="24">
        <v>40</v>
      </c>
      <c r="G266" s="24">
        <v>66.56</v>
      </c>
      <c r="H266" s="24" t="s">
        <v>989</v>
      </c>
      <c r="I266" s="24" t="e">
        <f>VLOOKUP(H266,Sheet4!A:B,2,)</f>
        <v>#N/A</v>
      </c>
      <c r="J266" s="25">
        <v>6</v>
      </c>
    </row>
    <row r="267" s="6" customFormat="1" ht="20" customHeight="1" spans="1:10">
      <c r="A267" s="7"/>
      <c r="B267" s="134" t="s">
        <v>991</v>
      </c>
      <c r="C267" s="65" t="s">
        <v>983</v>
      </c>
      <c r="D267" s="142" t="s">
        <v>878</v>
      </c>
      <c r="E267" s="65" t="s">
        <v>208</v>
      </c>
      <c r="F267" s="142">
        <v>40</v>
      </c>
      <c r="G267" s="65" t="s">
        <v>992</v>
      </c>
      <c r="H267" s="142" t="s">
        <v>87</v>
      </c>
      <c r="I267" s="142" t="str">
        <f>VLOOKUP(H267,Sheet4!A:B,2,)</f>
        <v>Gunmetal Machine Face</v>
      </c>
      <c r="J267" s="21">
        <v>1</v>
      </c>
    </row>
    <row r="268" s="6" customFormat="1" ht="20" customHeight="1" spans="1:10">
      <c r="A268" s="7"/>
      <c r="B268" s="134" t="s">
        <v>993</v>
      </c>
      <c r="C268" s="65" t="s">
        <v>983</v>
      </c>
      <c r="D268" s="142" t="s">
        <v>994</v>
      </c>
      <c r="E268" s="65" t="s">
        <v>13</v>
      </c>
      <c r="F268" s="142">
        <v>37</v>
      </c>
      <c r="G268" s="65" t="s">
        <v>992</v>
      </c>
      <c r="H268" s="142" t="s">
        <v>87</v>
      </c>
      <c r="I268" s="142" t="str">
        <f>VLOOKUP(H268,Sheet4!A:B,2,)</f>
        <v>Gunmetal Machine Face</v>
      </c>
      <c r="J268" s="21">
        <v>0</v>
      </c>
    </row>
    <row r="269" s="6" customFormat="1" ht="20" customHeight="1" spans="1:10">
      <c r="A269" s="7"/>
      <c r="B269" s="134" t="s">
        <v>995</v>
      </c>
      <c r="C269" s="65" t="s">
        <v>983</v>
      </c>
      <c r="D269" s="142" t="s">
        <v>878</v>
      </c>
      <c r="E269" s="65" t="s">
        <v>13</v>
      </c>
      <c r="F269" s="142" t="s">
        <v>996</v>
      </c>
      <c r="G269" s="65">
        <v>74.1</v>
      </c>
      <c r="H269" s="142" t="s">
        <v>87</v>
      </c>
      <c r="I269" s="142" t="str">
        <f>VLOOKUP(H269,Sheet4!A:B,2,)</f>
        <v>Gunmetal Machine Face</v>
      </c>
      <c r="J269" s="21">
        <f>1+1-2+1-1+6-2-2+4-1+1-2-2-2</f>
        <v>0</v>
      </c>
    </row>
    <row r="270" s="6" customFormat="1" ht="20" customHeight="1" spans="1:10">
      <c r="A270" s="7"/>
      <c r="B270" s="134" t="s">
        <v>995</v>
      </c>
      <c r="C270" s="65" t="s">
        <v>983</v>
      </c>
      <c r="D270" s="142" t="s">
        <v>994</v>
      </c>
      <c r="E270" s="65" t="s">
        <v>13</v>
      </c>
      <c r="F270" s="142" t="s">
        <v>997</v>
      </c>
      <c r="G270" s="65">
        <v>74.1</v>
      </c>
      <c r="H270" s="142" t="s">
        <v>87</v>
      </c>
      <c r="I270" s="142" t="str">
        <f>VLOOKUP(H270,Sheet4!A:B,2,)</f>
        <v>Gunmetal Machine Face</v>
      </c>
      <c r="J270" s="21">
        <f>4-2-2+2-2+6-2-2-1+4-1+2-2-2+1-1-2</f>
        <v>0</v>
      </c>
    </row>
    <row r="271" s="6" customFormat="1" ht="20" customHeight="1" spans="1:10">
      <c r="A271" s="7"/>
      <c r="B271" s="134" t="s">
        <v>998</v>
      </c>
      <c r="C271" s="65" t="s">
        <v>983</v>
      </c>
      <c r="D271" s="142" t="s">
        <v>878</v>
      </c>
      <c r="E271" s="65" t="s">
        <v>208</v>
      </c>
      <c r="F271" s="142">
        <v>35</v>
      </c>
      <c r="G271" s="65">
        <v>66.45</v>
      </c>
      <c r="H271" s="142" t="s">
        <v>999</v>
      </c>
      <c r="I271" s="142" t="e">
        <f>VLOOKUP(H271,Sheet4!A:B,2,)</f>
        <v>#N/A</v>
      </c>
      <c r="J271" s="21">
        <v>2</v>
      </c>
    </row>
    <row r="272" s="6" customFormat="1" ht="20" customHeight="1" spans="1:10">
      <c r="A272" s="80"/>
      <c r="B272" s="155" t="s">
        <v>998</v>
      </c>
      <c r="C272" s="68" t="s">
        <v>983</v>
      </c>
      <c r="D272" s="146" t="s">
        <v>994</v>
      </c>
      <c r="E272" s="68" t="s">
        <v>208</v>
      </c>
      <c r="F272" s="146">
        <v>35</v>
      </c>
      <c r="G272" s="68">
        <v>66.45</v>
      </c>
      <c r="H272" s="146" t="s">
        <v>999</v>
      </c>
      <c r="I272" s="146" t="e">
        <f>VLOOKUP(H272,Sheet4!A:B,2,)</f>
        <v>#N/A</v>
      </c>
      <c r="J272" s="25">
        <v>2</v>
      </c>
    </row>
    <row r="273" s="6" customFormat="1" ht="21" customHeight="1" spans="1:10">
      <c r="A273" s="7"/>
      <c r="B273" s="134" t="s">
        <v>1000</v>
      </c>
      <c r="C273" s="65" t="s">
        <v>983</v>
      </c>
      <c r="D273" s="142" t="s">
        <v>489</v>
      </c>
      <c r="E273" s="65" t="s">
        <v>13</v>
      </c>
      <c r="F273" s="142">
        <v>38</v>
      </c>
      <c r="G273" s="65" t="s">
        <v>992</v>
      </c>
      <c r="H273" s="142" t="s">
        <v>21</v>
      </c>
      <c r="I273" s="142" t="str">
        <f>VLOOKUP(H273,Sheet4!A:B,2,)</f>
        <v>Black Machine Face</v>
      </c>
      <c r="J273" s="21">
        <f>4+4-4-4+12-4-4-4+4-4+8-4-4</f>
        <v>0</v>
      </c>
    </row>
    <row r="274" s="6" customFormat="1" ht="21" customHeight="1" spans="1:10">
      <c r="A274" s="7"/>
      <c r="B274" s="134" t="s">
        <v>1001</v>
      </c>
      <c r="C274" s="65" t="s">
        <v>983</v>
      </c>
      <c r="D274" s="142" t="s">
        <v>1002</v>
      </c>
      <c r="E274" s="65" t="s">
        <v>208</v>
      </c>
      <c r="F274" s="142" t="s">
        <v>1003</v>
      </c>
      <c r="G274" s="65">
        <v>66.56</v>
      </c>
      <c r="H274" s="142" t="s">
        <v>21</v>
      </c>
      <c r="I274" s="142" t="str">
        <f>VLOOKUP(H274,Sheet4!A:B,2,)</f>
        <v>Black Machine Face</v>
      </c>
      <c r="J274" s="21">
        <f>4-2</f>
        <v>2</v>
      </c>
    </row>
    <row r="275" s="6" customFormat="1" ht="21" customHeight="1" spans="1:10">
      <c r="A275" s="7"/>
      <c r="B275" s="134" t="s">
        <v>1001</v>
      </c>
      <c r="C275" s="65" t="s">
        <v>983</v>
      </c>
      <c r="D275" s="142" t="s">
        <v>1004</v>
      </c>
      <c r="E275" s="65" t="s">
        <v>208</v>
      </c>
      <c r="F275" s="142" t="s">
        <v>1005</v>
      </c>
      <c r="G275" s="65">
        <v>66.56</v>
      </c>
      <c r="H275" s="142" t="s">
        <v>21</v>
      </c>
      <c r="I275" s="142" t="str">
        <f>VLOOKUP(H275,Sheet4!A:B,2,)</f>
        <v>Black Machine Face</v>
      </c>
      <c r="J275" s="21">
        <f>4-2</f>
        <v>2</v>
      </c>
    </row>
    <row r="276" s="6" customFormat="1" ht="21" customHeight="1" spans="1:10">
      <c r="A276" s="7"/>
      <c r="B276" s="134" t="s">
        <v>1006</v>
      </c>
      <c r="C276" s="65" t="s">
        <v>983</v>
      </c>
      <c r="D276" s="142" t="s">
        <v>878</v>
      </c>
      <c r="E276" s="65" t="s">
        <v>13</v>
      </c>
      <c r="F276" s="142">
        <v>40</v>
      </c>
      <c r="G276" s="65">
        <v>74.1</v>
      </c>
      <c r="H276" s="142" t="s">
        <v>21</v>
      </c>
      <c r="I276" s="142" t="str">
        <f>VLOOKUP(H276,Sheet4!A:B,2,)</f>
        <v>Black Machine Face</v>
      </c>
      <c r="J276" s="21">
        <f>2-2+2-2+2-2+2-2+2-2+4-2-2</f>
        <v>0</v>
      </c>
    </row>
    <row r="277" s="6" customFormat="1" ht="21" customHeight="1" spans="1:10">
      <c r="A277" s="7"/>
      <c r="B277" s="134" t="s">
        <v>1006</v>
      </c>
      <c r="C277" s="65" t="s">
        <v>983</v>
      </c>
      <c r="D277" s="142" t="s">
        <v>994</v>
      </c>
      <c r="E277" s="65" t="s">
        <v>13</v>
      </c>
      <c r="F277" s="142">
        <v>37</v>
      </c>
      <c r="G277" s="65">
        <v>74.1</v>
      </c>
      <c r="H277" s="142" t="s">
        <v>21</v>
      </c>
      <c r="I277" s="142" t="str">
        <f>VLOOKUP(H277,Sheet4!A:B,2,)</f>
        <v>Black Machine Face</v>
      </c>
      <c r="J277" s="21">
        <f>2-2+2-2+2-2+2-2+2-2+4-2-2</f>
        <v>0</v>
      </c>
    </row>
    <row r="278" s="6" customFormat="1" ht="21" customHeight="1" spans="1:10">
      <c r="A278" s="7"/>
      <c r="B278" s="134" t="s">
        <v>1007</v>
      </c>
      <c r="C278" s="65" t="s">
        <v>983</v>
      </c>
      <c r="D278" s="142" t="s">
        <v>39</v>
      </c>
      <c r="E278" s="65" t="s">
        <v>208</v>
      </c>
      <c r="F278" s="142">
        <v>37</v>
      </c>
      <c r="G278" s="65">
        <v>66.56</v>
      </c>
      <c r="H278" s="142" t="s">
        <v>21</v>
      </c>
      <c r="I278" s="142" t="str">
        <f>VLOOKUP(H278,Sheet4!A:B,2,)</f>
        <v>Black Machine Face</v>
      </c>
      <c r="J278" s="21">
        <f>4-2-2+4-2-2+4-2-2+2-2+4-2-2+6-2-2-2+6-2-2</f>
        <v>2</v>
      </c>
    </row>
    <row r="279" s="6" customFormat="1" ht="21" customHeight="1" spans="1:10">
      <c r="A279" s="7"/>
      <c r="B279" s="134" t="s">
        <v>1007</v>
      </c>
      <c r="C279" s="65" t="s">
        <v>983</v>
      </c>
      <c r="D279" s="142" t="s">
        <v>493</v>
      </c>
      <c r="E279" s="65" t="s">
        <v>208</v>
      </c>
      <c r="F279" s="142">
        <v>43</v>
      </c>
      <c r="G279" s="65">
        <v>66.56</v>
      </c>
      <c r="H279" s="142" t="s">
        <v>21</v>
      </c>
      <c r="I279" s="142" t="str">
        <f>VLOOKUP(H279,Sheet4!A:B,2,)</f>
        <v>Black Machine Face</v>
      </c>
      <c r="J279" s="21">
        <f>4-2-2+4-2-2+4-2-2+2-2+4-2-2+6-2-2-2+6-2-2</f>
        <v>2</v>
      </c>
    </row>
    <row r="280" s="6" customFormat="1" ht="21" customHeight="1" spans="1:10">
      <c r="A280" s="7"/>
      <c r="B280" s="134" t="s">
        <v>1008</v>
      </c>
      <c r="C280" s="65" t="s">
        <v>983</v>
      </c>
      <c r="D280" s="142" t="s">
        <v>39</v>
      </c>
      <c r="E280" s="65" t="s">
        <v>208</v>
      </c>
      <c r="F280" s="142">
        <v>37</v>
      </c>
      <c r="G280" s="65">
        <v>66.56</v>
      </c>
      <c r="H280" s="142" t="s">
        <v>16</v>
      </c>
      <c r="I280" s="142" t="str">
        <f>VLOOKUP(H280,Sheet4!A:B,2,)</f>
        <v>GLOSS BLACK</v>
      </c>
      <c r="J280" s="21">
        <f>2+2-2-2+2+4-4-2+6-6+8-4+2-2-2-2+4-2+6-6</f>
        <v>2</v>
      </c>
    </row>
    <row r="281" s="6" customFormat="1" ht="21" customHeight="1" spans="1:10">
      <c r="A281" s="7"/>
      <c r="B281" s="134" t="s">
        <v>1008</v>
      </c>
      <c r="C281" s="65" t="s">
        <v>983</v>
      </c>
      <c r="D281" s="142" t="s">
        <v>493</v>
      </c>
      <c r="E281" s="65" t="s">
        <v>208</v>
      </c>
      <c r="F281" s="142">
        <v>43</v>
      </c>
      <c r="G281" s="65">
        <v>66.56</v>
      </c>
      <c r="H281" s="142" t="s">
        <v>16</v>
      </c>
      <c r="I281" s="142" t="str">
        <f>VLOOKUP(H281,Sheet4!A:B,2,)</f>
        <v>GLOSS BLACK</v>
      </c>
      <c r="J281" s="21">
        <f>2+2-2-2+2+4-4-2+6-6+8-4+2-2-2-2+4-2+6-6</f>
        <v>2</v>
      </c>
    </row>
    <row r="282" s="6" customFormat="1" ht="21" customHeight="1" spans="1:10">
      <c r="A282" s="7"/>
      <c r="B282" s="134" t="s">
        <v>1009</v>
      </c>
      <c r="C282" s="65" t="s">
        <v>983</v>
      </c>
      <c r="D282" s="20" t="s">
        <v>34</v>
      </c>
      <c r="E282" s="20" t="s">
        <v>208</v>
      </c>
      <c r="F282" s="19" t="s">
        <v>1010</v>
      </c>
      <c r="G282" s="65">
        <v>66.56</v>
      </c>
      <c r="H282" s="142" t="s">
        <v>21</v>
      </c>
      <c r="I282" s="142" t="str">
        <f>VLOOKUP(H282,Sheet4!A:B,2,)</f>
        <v>Black Machine Face</v>
      </c>
      <c r="J282" s="42">
        <f>2-2+2-2+2-2+2+4-2-2-2+2-2+2+6-2-2+10</f>
        <v>14</v>
      </c>
    </row>
    <row r="283" s="6" customFormat="1" ht="21" customHeight="1" spans="1:10">
      <c r="A283" s="7"/>
      <c r="B283" s="134" t="s">
        <v>1009</v>
      </c>
      <c r="C283" s="65" t="s">
        <v>983</v>
      </c>
      <c r="D283" s="20" t="s">
        <v>990</v>
      </c>
      <c r="E283" s="20" t="s">
        <v>208</v>
      </c>
      <c r="F283" s="19" t="s">
        <v>252</v>
      </c>
      <c r="G283" s="65">
        <v>66.56</v>
      </c>
      <c r="H283" s="142" t="s">
        <v>21</v>
      </c>
      <c r="I283" s="142" t="str">
        <f>VLOOKUP(H283,Sheet4!A:B,2,)</f>
        <v>Black Machine Face</v>
      </c>
      <c r="J283" s="42">
        <f>2-2+2-2+2-2+2+4-2-2-2+2-2+2+6-2-2+10</f>
        <v>14</v>
      </c>
    </row>
    <row r="284" s="6" customFormat="1" ht="21" customHeight="1" spans="1:10">
      <c r="A284" s="7"/>
      <c r="B284" s="134" t="s">
        <v>1011</v>
      </c>
      <c r="C284" s="65" t="s">
        <v>983</v>
      </c>
      <c r="D284" s="20" t="s">
        <v>34</v>
      </c>
      <c r="E284" s="20" t="s">
        <v>208</v>
      </c>
      <c r="F284" s="19">
        <v>37</v>
      </c>
      <c r="G284" s="65">
        <v>66.56</v>
      </c>
      <c r="H284" s="142" t="s">
        <v>16</v>
      </c>
      <c r="I284" s="142" t="str">
        <f>VLOOKUP(H284,Sheet4!A:B,2,)</f>
        <v>GLOSS BLACK</v>
      </c>
      <c r="J284" s="42">
        <f>6+2</f>
        <v>8</v>
      </c>
    </row>
    <row r="285" s="6" customFormat="1" ht="21" customHeight="1" spans="1:10">
      <c r="A285" s="80"/>
      <c r="B285" s="155" t="s">
        <v>1011</v>
      </c>
      <c r="C285" s="68" t="s">
        <v>983</v>
      </c>
      <c r="D285" s="24" t="s">
        <v>990</v>
      </c>
      <c r="E285" s="24" t="s">
        <v>208</v>
      </c>
      <c r="F285" s="23">
        <v>40</v>
      </c>
      <c r="G285" s="68">
        <v>66.56</v>
      </c>
      <c r="H285" s="146" t="s">
        <v>16</v>
      </c>
      <c r="I285" s="146" t="str">
        <f>VLOOKUP(H285,Sheet4!A:B,2,)</f>
        <v>GLOSS BLACK</v>
      </c>
      <c r="J285" s="43">
        <f>6+2</f>
        <v>8</v>
      </c>
    </row>
    <row r="286" s="6" customFormat="1" ht="18" customHeight="1" spans="1:10">
      <c r="A286" s="7"/>
      <c r="B286" s="134" t="s">
        <v>1012</v>
      </c>
      <c r="C286" s="148" t="s">
        <v>983</v>
      </c>
      <c r="D286" s="142" t="s">
        <v>489</v>
      </c>
      <c r="E286" s="142" t="s">
        <v>208</v>
      </c>
      <c r="F286" s="142">
        <v>35</v>
      </c>
      <c r="G286" s="142">
        <v>66.56</v>
      </c>
      <c r="H286" s="148" t="s">
        <v>16</v>
      </c>
      <c r="I286" s="148" t="str">
        <f>VLOOKUP(H286,Sheet4!A:B,2,)</f>
        <v>GLOSS BLACK</v>
      </c>
      <c r="J286" s="42">
        <f>8-4+4-4</f>
        <v>4</v>
      </c>
    </row>
    <row r="287" s="6" customFormat="1" ht="18" customHeight="1" spans="1:10">
      <c r="A287" s="7"/>
      <c r="B287" s="134" t="s">
        <v>1013</v>
      </c>
      <c r="C287" s="148" t="s">
        <v>983</v>
      </c>
      <c r="D287" s="142" t="s">
        <v>489</v>
      </c>
      <c r="E287" s="142" t="s">
        <v>208</v>
      </c>
      <c r="F287" s="142">
        <v>35</v>
      </c>
      <c r="G287" s="142">
        <v>66.56</v>
      </c>
      <c r="H287" s="148" t="s">
        <v>87</v>
      </c>
      <c r="I287" s="148" t="str">
        <f>VLOOKUP(H287,Sheet4!A:B,2,)</f>
        <v>Gunmetal Machine Face</v>
      </c>
      <c r="J287" s="42">
        <f>8-4+4-4-4+8-4+4-4-4+4-4+4-4+7+1-4-4</f>
        <v>0</v>
      </c>
    </row>
    <row r="288" s="6" customFormat="1" ht="18" customHeight="1" spans="1:10">
      <c r="A288" s="7"/>
      <c r="B288" s="134" t="s">
        <v>1014</v>
      </c>
      <c r="C288" s="148" t="s">
        <v>983</v>
      </c>
      <c r="D288" s="142" t="s">
        <v>489</v>
      </c>
      <c r="E288" s="142" t="s">
        <v>13</v>
      </c>
      <c r="F288" s="142">
        <v>38</v>
      </c>
      <c r="G288" s="142">
        <v>74.1</v>
      </c>
      <c r="H288" s="148" t="s">
        <v>87</v>
      </c>
      <c r="I288" s="148" t="str">
        <f>VLOOKUP(H288,Sheet4!A:B,2,)</f>
        <v>Gunmetal Machine Face</v>
      </c>
      <c r="J288" s="42">
        <f>8-4-4+8-4-4+4-4+8+4-4-4-4+4-4+4+4-4-4+12-8-4+8</f>
        <v>8</v>
      </c>
    </row>
    <row r="289" s="6" customFormat="1" ht="18" customHeight="1" spans="1:10">
      <c r="A289" s="7"/>
      <c r="B289" s="134" t="s">
        <v>1015</v>
      </c>
      <c r="C289" s="148" t="s">
        <v>983</v>
      </c>
      <c r="D289" s="142" t="s">
        <v>489</v>
      </c>
      <c r="E289" s="142" t="s">
        <v>13</v>
      </c>
      <c r="F289" s="142">
        <v>38</v>
      </c>
      <c r="G289" s="142">
        <v>74.1</v>
      </c>
      <c r="H289" s="148" t="s">
        <v>16</v>
      </c>
      <c r="I289" s="148" t="str">
        <f>VLOOKUP(H289,Sheet4!A:B,2,)</f>
        <v>GLOSS BLACK</v>
      </c>
      <c r="J289" s="42">
        <f>4-4+4-4+8-4-4+8-4</f>
        <v>4</v>
      </c>
    </row>
    <row r="290" s="6" customFormat="1" ht="18" customHeight="1" spans="1:10">
      <c r="A290" s="7"/>
      <c r="B290" s="134" t="s">
        <v>1016</v>
      </c>
      <c r="C290" s="148" t="s">
        <v>983</v>
      </c>
      <c r="D290" s="142" t="s">
        <v>225</v>
      </c>
      <c r="E290" s="142" t="s">
        <v>208</v>
      </c>
      <c r="F290" s="142">
        <v>37</v>
      </c>
      <c r="G290" s="142">
        <v>66.56</v>
      </c>
      <c r="H290" s="148" t="s">
        <v>87</v>
      </c>
      <c r="I290" s="148" t="str">
        <f>VLOOKUP(H290,Sheet4!A:B,2,)</f>
        <v>Gunmetal Machine Face</v>
      </c>
      <c r="J290" s="42">
        <v>1</v>
      </c>
    </row>
    <row r="291" s="6" customFormat="1" ht="18" customHeight="1" spans="1:10">
      <c r="A291" s="7"/>
      <c r="B291" s="134" t="s">
        <v>1017</v>
      </c>
      <c r="C291" s="148" t="s">
        <v>983</v>
      </c>
      <c r="D291" s="142" t="s">
        <v>225</v>
      </c>
      <c r="E291" s="142" t="s">
        <v>208</v>
      </c>
      <c r="F291" s="142">
        <v>37</v>
      </c>
      <c r="G291" s="142">
        <v>66.56</v>
      </c>
      <c r="H291" s="148" t="s">
        <v>87</v>
      </c>
      <c r="I291" s="148" t="str">
        <f>VLOOKUP(H291,Sheet4!A:B,2,)</f>
        <v>Gunmetal Machine Face</v>
      </c>
      <c r="J291" s="42">
        <f>5-2-2+4-1-2-2+4+2-2</f>
        <v>4</v>
      </c>
    </row>
    <row r="292" s="6" customFormat="1" ht="18" customHeight="1" spans="1:10">
      <c r="A292" s="7"/>
      <c r="B292" s="134" t="s">
        <v>1017</v>
      </c>
      <c r="C292" s="148" t="s">
        <v>983</v>
      </c>
      <c r="D292" s="142" t="s">
        <v>487</v>
      </c>
      <c r="E292" s="142" t="s">
        <v>208</v>
      </c>
      <c r="F292" s="142">
        <v>43</v>
      </c>
      <c r="G292" s="142">
        <v>66.56</v>
      </c>
      <c r="H292" s="148" t="s">
        <v>87</v>
      </c>
      <c r="I292" s="148" t="str">
        <f>VLOOKUP(H292,Sheet4!A:B,2,)</f>
        <v>Gunmetal Machine Face</v>
      </c>
      <c r="J292" s="42">
        <f>4-2-2+4-2-2+4+2-2</f>
        <v>4</v>
      </c>
    </row>
    <row r="293" s="6" customFormat="1" ht="18" customHeight="1" spans="1:10">
      <c r="A293" s="7"/>
      <c r="B293" s="19" t="s">
        <v>1018</v>
      </c>
      <c r="C293" s="148" t="s">
        <v>983</v>
      </c>
      <c r="D293" s="20" t="s">
        <v>225</v>
      </c>
      <c r="E293" s="20" t="s">
        <v>208</v>
      </c>
      <c r="F293" s="20">
        <v>37</v>
      </c>
      <c r="G293" s="20">
        <v>66.56</v>
      </c>
      <c r="H293" s="20" t="s">
        <v>16</v>
      </c>
      <c r="I293" s="20" t="str">
        <f>VLOOKUP(H293,Sheet4!A:B,2,)</f>
        <v>GLOSS BLACK</v>
      </c>
      <c r="J293" s="21">
        <f>4-2</f>
        <v>2</v>
      </c>
    </row>
    <row r="294" s="6" customFormat="1" ht="18" customHeight="1" spans="1:10">
      <c r="A294" s="7"/>
      <c r="B294" s="19" t="s">
        <v>1018</v>
      </c>
      <c r="C294" s="148" t="s">
        <v>983</v>
      </c>
      <c r="D294" s="20" t="s">
        <v>487</v>
      </c>
      <c r="E294" s="20" t="s">
        <v>208</v>
      </c>
      <c r="F294" s="20">
        <v>43</v>
      </c>
      <c r="G294" s="20">
        <v>66.56</v>
      </c>
      <c r="H294" s="20" t="s">
        <v>16</v>
      </c>
      <c r="I294" s="20" t="str">
        <f>VLOOKUP(H294,Sheet4!A:B,2,)</f>
        <v>GLOSS BLACK</v>
      </c>
      <c r="J294" s="21">
        <f>4-2</f>
        <v>2</v>
      </c>
    </row>
    <row r="295" s="6" customFormat="1" ht="18" customHeight="1" spans="1:10">
      <c r="A295" s="7"/>
      <c r="B295" s="19" t="s">
        <v>1019</v>
      </c>
      <c r="C295" s="148" t="s">
        <v>983</v>
      </c>
      <c r="D295" s="20" t="s">
        <v>878</v>
      </c>
      <c r="E295" s="20" t="s">
        <v>13</v>
      </c>
      <c r="F295" s="20">
        <v>40</v>
      </c>
      <c r="G295" s="20">
        <v>74.1</v>
      </c>
      <c r="H295" s="20" t="s">
        <v>16</v>
      </c>
      <c r="I295" s="20" t="str">
        <f>VLOOKUP(H295,Sheet4!A:B,2,)</f>
        <v>GLOSS BLACK</v>
      </c>
      <c r="J295" s="21">
        <f>2-2+2+1-2+4-2-2-1+4-2-2</f>
        <v>0</v>
      </c>
    </row>
    <row r="296" s="6" customFormat="1" ht="18" customHeight="1" spans="1:10">
      <c r="A296" s="7"/>
      <c r="B296" s="19" t="s">
        <v>1019</v>
      </c>
      <c r="C296" s="148" t="s">
        <v>983</v>
      </c>
      <c r="D296" s="20" t="s">
        <v>994</v>
      </c>
      <c r="E296" s="20" t="s">
        <v>13</v>
      </c>
      <c r="F296" s="20">
        <v>37</v>
      </c>
      <c r="G296" s="20">
        <v>74.1</v>
      </c>
      <c r="H296" s="20" t="s">
        <v>16</v>
      </c>
      <c r="I296" s="20" t="str">
        <f>VLOOKUP(H296,Sheet4!A:B,2,)</f>
        <v>GLOSS BLACK</v>
      </c>
      <c r="J296" s="21">
        <f>1+1-2+4-2-2+4-2-2</f>
        <v>0</v>
      </c>
    </row>
    <row r="297" s="6" customFormat="1" ht="18" customHeight="1" spans="1:10">
      <c r="A297" s="7"/>
      <c r="B297" s="19" t="s">
        <v>1020</v>
      </c>
      <c r="C297" s="148" t="s">
        <v>983</v>
      </c>
      <c r="D297" s="20" t="s">
        <v>878</v>
      </c>
      <c r="E297" s="20" t="s">
        <v>13</v>
      </c>
      <c r="F297" s="20">
        <v>40</v>
      </c>
      <c r="G297" s="20">
        <v>74.1</v>
      </c>
      <c r="H297" s="20" t="s">
        <v>87</v>
      </c>
      <c r="I297" s="20" t="str">
        <f>VLOOKUP(H297,Sheet4!A:B,2,)</f>
        <v>Gunmetal Machine Face</v>
      </c>
      <c r="J297" s="21">
        <f>4-2-2+2-2+6-2-2-2+2-2+2-2+4-2-2+4-2-2+2-2+4-2-2+6-2+2-2-2+6-2-6+6-2-2-2+2</f>
        <v>2</v>
      </c>
    </row>
    <row r="298" s="6" customFormat="1" ht="18" customHeight="1" spans="1:10">
      <c r="A298" s="7"/>
      <c r="B298" s="19" t="s">
        <v>1020</v>
      </c>
      <c r="C298" s="148" t="s">
        <v>983</v>
      </c>
      <c r="D298" s="20" t="s">
        <v>994</v>
      </c>
      <c r="E298" s="20" t="s">
        <v>13</v>
      </c>
      <c r="F298" s="20">
        <v>37</v>
      </c>
      <c r="G298" s="20">
        <v>74.1</v>
      </c>
      <c r="H298" s="20" t="s">
        <v>87</v>
      </c>
      <c r="I298" s="20" t="str">
        <f>VLOOKUP(H298,Sheet4!A:B,2,)</f>
        <v>Gunmetal Machine Face</v>
      </c>
      <c r="J298" s="21">
        <f>4-2-2+2-2+6-2-2-2+2-2+2-2+4-2-2+4-2-2+2-2+4-2-2+6-2+2-2-2+6-2-6+6-2-2-2+2</f>
        <v>2</v>
      </c>
    </row>
    <row r="299" s="6" customFormat="1" ht="18" customHeight="1" spans="1:10">
      <c r="A299" s="7"/>
      <c r="B299" s="19" t="s">
        <v>1021</v>
      </c>
      <c r="C299" s="148" t="s">
        <v>983</v>
      </c>
      <c r="D299" s="20" t="s">
        <v>39</v>
      </c>
      <c r="E299" s="20" t="s">
        <v>208</v>
      </c>
      <c r="F299" s="20">
        <v>37</v>
      </c>
      <c r="G299" s="20">
        <v>66.56</v>
      </c>
      <c r="H299" s="20" t="s">
        <v>16</v>
      </c>
      <c r="I299" s="20" t="str">
        <f>VLOOKUP(H299,Sheet4!A:B,2,)</f>
        <v>GLOSS BLACK</v>
      </c>
      <c r="J299" s="21">
        <f>4-2-2+2+2+2-2-2-2</f>
        <v>0</v>
      </c>
    </row>
    <row r="300" s="6" customFormat="1" ht="18" customHeight="1" spans="1:10">
      <c r="A300" s="7"/>
      <c r="B300" s="19" t="s">
        <v>1021</v>
      </c>
      <c r="C300" s="148" t="s">
        <v>983</v>
      </c>
      <c r="D300" s="20" t="s">
        <v>493</v>
      </c>
      <c r="E300" s="20" t="s">
        <v>208</v>
      </c>
      <c r="F300" s="20">
        <v>43</v>
      </c>
      <c r="G300" s="20">
        <v>66.56</v>
      </c>
      <c r="H300" s="20" t="s">
        <v>16</v>
      </c>
      <c r="I300" s="20" t="str">
        <f>VLOOKUP(H300,Sheet4!A:B,2,)</f>
        <v>GLOSS BLACK</v>
      </c>
      <c r="J300" s="21">
        <f>4-2-2+2+2+2-2-2-2</f>
        <v>0</v>
      </c>
    </row>
    <row r="301" s="6" customFormat="1" ht="18" customHeight="1" spans="1:10">
      <c r="A301" s="7"/>
      <c r="B301" s="19" t="s">
        <v>1022</v>
      </c>
      <c r="C301" s="148" t="s">
        <v>983</v>
      </c>
      <c r="D301" s="20" t="s">
        <v>39</v>
      </c>
      <c r="E301" s="20" t="s">
        <v>208</v>
      </c>
      <c r="F301" s="20">
        <v>37</v>
      </c>
      <c r="G301" s="20">
        <v>66.56</v>
      </c>
      <c r="H301" s="20" t="s">
        <v>87</v>
      </c>
      <c r="I301" s="20" t="str">
        <f>VLOOKUP(H301,Sheet4!A:B,2,)</f>
        <v>Gunmetal Machine Face</v>
      </c>
      <c r="J301" s="42">
        <f>2-2+2-2+2-2+2-1+4-2-2+6-2-2-2</f>
        <v>1</v>
      </c>
    </row>
    <row r="302" s="6" customFormat="1" ht="18" customHeight="1" spans="1:10">
      <c r="A302" s="7"/>
      <c r="B302" s="19" t="s">
        <v>1022</v>
      </c>
      <c r="C302" s="148" t="s">
        <v>983</v>
      </c>
      <c r="D302" s="20" t="s">
        <v>493</v>
      </c>
      <c r="E302" s="20" t="s">
        <v>208</v>
      </c>
      <c r="F302" s="20">
        <v>43</v>
      </c>
      <c r="G302" s="20">
        <v>66.56</v>
      </c>
      <c r="H302" s="20" t="s">
        <v>87</v>
      </c>
      <c r="I302" s="20" t="str">
        <f>VLOOKUP(H302,Sheet4!A:B,2,)</f>
        <v>Gunmetal Machine Face</v>
      </c>
      <c r="J302" s="42">
        <f>2-2+2-2+2-2+2-2+4-2-2+6-2-2-2</f>
        <v>0</v>
      </c>
    </row>
    <row r="303" s="6" customFormat="1" ht="18" customHeight="1" spans="1:10">
      <c r="A303" s="7"/>
      <c r="B303" s="19" t="s">
        <v>1023</v>
      </c>
      <c r="C303" s="148" t="s">
        <v>983</v>
      </c>
      <c r="D303" s="20" t="s">
        <v>556</v>
      </c>
      <c r="E303" s="20" t="s">
        <v>13</v>
      </c>
      <c r="F303" s="20">
        <v>40</v>
      </c>
      <c r="G303" s="20">
        <v>74.1</v>
      </c>
      <c r="H303" s="20" t="s">
        <v>16</v>
      </c>
      <c r="I303" s="20" t="str">
        <f>VLOOKUP(H303,Sheet4!A:B,2,)</f>
        <v>GLOSS BLACK</v>
      </c>
      <c r="J303" s="21">
        <f>2-2+2-2+2-2+2-2+2-2+2-2+4+4</f>
        <v>8</v>
      </c>
    </row>
    <row r="304" s="6" customFormat="1" ht="18" customHeight="1" spans="1:10">
      <c r="A304" s="7"/>
      <c r="B304" s="19" t="s">
        <v>1023</v>
      </c>
      <c r="C304" s="148" t="s">
        <v>983</v>
      </c>
      <c r="D304" s="20" t="s">
        <v>1024</v>
      </c>
      <c r="E304" s="20" t="s">
        <v>13</v>
      </c>
      <c r="F304" s="20">
        <v>37</v>
      </c>
      <c r="G304" s="20">
        <v>74.1</v>
      </c>
      <c r="H304" s="20" t="s">
        <v>16</v>
      </c>
      <c r="I304" s="20" t="str">
        <f>VLOOKUP(H304,Sheet4!A:B,2,)</f>
        <v>GLOSS BLACK</v>
      </c>
      <c r="J304" s="21">
        <f>2-2+2-2+2-2+2-2+2-2+2-2+4+4</f>
        <v>8</v>
      </c>
    </row>
    <row r="305" s="6" customFormat="1" ht="18" customHeight="1" spans="1:10">
      <c r="A305" s="7"/>
      <c r="B305" s="19" t="s">
        <v>1025</v>
      </c>
      <c r="C305" s="148" t="s">
        <v>983</v>
      </c>
      <c r="D305" s="20" t="s">
        <v>556</v>
      </c>
      <c r="E305" s="20" t="s">
        <v>13</v>
      </c>
      <c r="F305" s="20">
        <v>40</v>
      </c>
      <c r="G305" s="19">
        <v>74.1</v>
      </c>
      <c r="H305" s="20" t="s">
        <v>87</v>
      </c>
      <c r="I305" s="20" t="str">
        <f>VLOOKUP(H305,Sheet4!A:B,2,)</f>
        <v>Gunmetal Machine Face</v>
      </c>
      <c r="J305" s="21">
        <v>0</v>
      </c>
    </row>
    <row r="306" s="6" customFormat="1" ht="18" customHeight="1" spans="1:10">
      <c r="A306" s="80"/>
      <c r="B306" s="23" t="s">
        <v>1025</v>
      </c>
      <c r="C306" s="156" t="s">
        <v>983</v>
      </c>
      <c r="D306" s="24" t="s">
        <v>1024</v>
      </c>
      <c r="E306" s="24" t="s">
        <v>13</v>
      </c>
      <c r="F306" s="24">
        <v>37</v>
      </c>
      <c r="G306" s="23">
        <v>74.1</v>
      </c>
      <c r="H306" s="24" t="s">
        <v>87</v>
      </c>
      <c r="I306" s="24" t="str">
        <f>VLOOKUP(H306,Sheet4!A:B,2,)</f>
        <v>Gunmetal Machine Face</v>
      </c>
      <c r="J306" s="25">
        <v>0</v>
      </c>
    </row>
    <row r="307" s="6" customFormat="1" ht="32" customHeight="1" spans="1:10">
      <c r="A307" s="7"/>
      <c r="B307" s="19" t="s">
        <v>1026</v>
      </c>
      <c r="C307" s="148" t="s">
        <v>983</v>
      </c>
      <c r="D307" s="20" t="s">
        <v>489</v>
      </c>
      <c r="E307" s="20" t="s">
        <v>208</v>
      </c>
      <c r="F307" s="20">
        <v>35</v>
      </c>
      <c r="G307" s="20">
        <v>66.5</v>
      </c>
      <c r="H307" s="20" t="s">
        <v>439</v>
      </c>
      <c r="I307" s="20" t="str">
        <f>VLOOKUP(H307,Sheet4!A:B,2,)</f>
        <v>Gunmetal Machine Face</v>
      </c>
      <c r="J307" s="42">
        <f>4-4+4+4-4</f>
        <v>4</v>
      </c>
    </row>
    <row r="308" s="6" customFormat="1" ht="32" customHeight="1" spans="1:10">
      <c r="A308" s="7"/>
      <c r="B308" s="19" t="s">
        <v>1027</v>
      </c>
      <c r="C308" s="148" t="s">
        <v>983</v>
      </c>
      <c r="D308" s="20" t="s">
        <v>489</v>
      </c>
      <c r="E308" s="20" t="s">
        <v>13</v>
      </c>
      <c r="F308" s="20">
        <v>38</v>
      </c>
      <c r="G308" s="20">
        <v>74.1</v>
      </c>
      <c r="H308" s="20" t="s">
        <v>87</v>
      </c>
      <c r="I308" s="20" t="str">
        <f>VLOOKUP(H308,Sheet4!A:B,2,)</f>
        <v>Gunmetal Machine Face</v>
      </c>
      <c r="J308" s="42">
        <f>4-4+4+4-4-4+8-4-4+8-4+4-4-4+4-4+8-4+4-4-4+4-4+8+4-4-4-4</f>
        <v>0</v>
      </c>
    </row>
    <row r="309" s="6" customFormat="1" ht="32" customHeight="1" spans="1:10">
      <c r="A309" s="7"/>
      <c r="B309" s="19" t="s">
        <v>1028</v>
      </c>
      <c r="C309" s="148" t="s">
        <v>983</v>
      </c>
      <c r="D309" s="20" t="s">
        <v>225</v>
      </c>
      <c r="E309" s="20" t="s">
        <v>208</v>
      </c>
      <c r="F309" s="20">
        <v>37</v>
      </c>
      <c r="G309" s="20">
        <v>66.5</v>
      </c>
      <c r="H309" s="20" t="s">
        <v>439</v>
      </c>
      <c r="I309" s="20" t="str">
        <f>VLOOKUP(H309,Sheet4!A:B,2,)</f>
        <v>Gunmetal Machine Face</v>
      </c>
      <c r="J309" s="42">
        <v>4</v>
      </c>
    </row>
    <row r="310" s="6" customFormat="1" ht="32" customHeight="1" spans="1:10">
      <c r="A310" s="7"/>
      <c r="B310" s="19" t="s">
        <v>1028</v>
      </c>
      <c r="C310" s="148" t="s">
        <v>983</v>
      </c>
      <c r="D310" s="20" t="s">
        <v>487</v>
      </c>
      <c r="E310" s="20" t="s">
        <v>208</v>
      </c>
      <c r="F310" s="20">
        <v>43</v>
      </c>
      <c r="G310" s="20">
        <v>66.5</v>
      </c>
      <c r="H310" s="20" t="s">
        <v>439</v>
      </c>
      <c r="I310" s="20" t="str">
        <f>VLOOKUP(H310,Sheet4!A:B,2,)</f>
        <v>Gunmetal Machine Face</v>
      </c>
      <c r="J310" s="42">
        <v>4</v>
      </c>
    </row>
    <row r="311" s="6" customFormat="1" ht="32" customHeight="1" spans="1:10">
      <c r="A311" s="7"/>
      <c r="B311" s="19" t="s">
        <v>1029</v>
      </c>
      <c r="C311" s="148" t="s">
        <v>983</v>
      </c>
      <c r="D311" s="20" t="s">
        <v>878</v>
      </c>
      <c r="E311" s="20" t="s">
        <v>13</v>
      </c>
      <c r="F311" s="20">
        <v>40</v>
      </c>
      <c r="G311" s="20">
        <v>74.1</v>
      </c>
      <c r="H311" s="20" t="s">
        <v>439</v>
      </c>
      <c r="I311" s="20" t="str">
        <f>VLOOKUP(H311,Sheet4!A:B,2,)</f>
        <v>Gunmetal Machine Face</v>
      </c>
      <c r="J311" s="42">
        <f>2-2+2-2+4+2-2-2-2+2-2+4-2-2+2+4-2-2-2+4-2+4-2-2+4-2-2-2+4+2</f>
        <v>6</v>
      </c>
    </row>
    <row r="312" s="6" customFormat="1" ht="32" customHeight="1" spans="1:10">
      <c r="A312" s="7"/>
      <c r="B312" s="19" t="s">
        <v>1029</v>
      </c>
      <c r="C312" s="148" t="s">
        <v>983</v>
      </c>
      <c r="D312" s="20" t="s">
        <v>994</v>
      </c>
      <c r="E312" s="20" t="s">
        <v>13</v>
      </c>
      <c r="F312" s="20">
        <v>37</v>
      </c>
      <c r="G312" s="20">
        <v>74.1</v>
      </c>
      <c r="H312" s="20" t="s">
        <v>439</v>
      </c>
      <c r="I312" s="20" t="str">
        <f>VLOOKUP(H312,Sheet4!A:B,2,)</f>
        <v>Gunmetal Machine Face</v>
      </c>
      <c r="J312" s="42">
        <f>2-2+2-2+4+2-2-2-2+2-2+4-2-2+2+4-2-2-2+4-2+4-2-2+4-2-2-2+4+2</f>
        <v>6</v>
      </c>
    </row>
    <row r="313" s="6" customFormat="1" ht="32" customHeight="1" spans="1:10">
      <c r="A313" s="7"/>
      <c r="B313" s="19" t="s">
        <v>1030</v>
      </c>
      <c r="C313" s="148" t="s">
        <v>983</v>
      </c>
      <c r="D313" s="20" t="s">
        <v>39</v>
      </c>
      <c r="E313" s="20" t="s">
        <v>208</v>
      </c>
      <c r="F313" s="20">
        <v>40</v>
      </c>
      <c r="G313" s="20">
        <v>66.56</v>
      </c>
      <c r="H313" s="20" t="s">
        <v>439</v>
      </c>
      <c r="I313" s="20" t="str">
        <f>VLOOKUP(H313,Sheet4!A:B,2,)</f>
        <v>Gunmetal Machine Face</v>
      </c>
      <c r="J313" s="42">
        <v>0</v>
      </c>
    </row>
    <row r="314" s="6" customFormat="1" ht="32" customHeight="1" spans="1:10">
      <c r="A314" s="80"/>
      <c r="B314" s="23" t="s">
        <v>1030</v>
      </c>
      <c r="C314" s="156" t="s">
        <v>983</v>
      </c>
      <c r="D314" s="24" t="s">
        <v>493</v>
      </c>
      <c r="E314" s="24" t="s">
        <v>208</v>
      </c>
      <c r="F314" s="24">
        <v>37</v>
      </c>
      <c r="G314" s="24">
        <v>66.56</v>
      </c>
      <c r="H314" s="24" t="s">
        <v>439</v>
      </c>
      <c r="I314" s="24" t="str">
        <f>VLOOKUP(H314,Sheet4!A:B,2,)</f>
        <v>Gunmetal Machine Face</v>
      </c>
      <c r="J314" s="43">
        <v>0</v>
      </c>
    </row>
    <row r="315" s="6" customFormat="1" ht="22" customHeight="1" spans="1:10">
      <c r="A315" s="7"/>
      <c r="B315" s="19" t="s">
        <v>1031</v>
      </c>
      <c r="C315" s="20" t="s">
        <v>983</v>
      </c>
      <c r="D315" s="20" t="s">
        <v>489</v>
      </c>
      <c r="E315" s="20" t="s">
        <v>208</v>
      </c>
      <c r="F315" s="20">
        <v>35</v>
      </c>
      <c r="G315" s="20">
        <v>66.56</v>
      </c>
      <c r="H315" s="20" t="s">
        <v>21</v>
      </c>
      <c r="I315" s="20" t="str">
        <f>VLOOKUP(H315,Sheet4!A:B,2,)</f>
        <v>Black Machine Face</v>
      </c>
      <c r="J315" s="42">
        <f>8-4+4</f>
        <v>8</v>
      </c>
    </row>
    <row r="316" s="6" customFormat="1" ht="22" customHeight="1" spans="1:10">
      <c r="A316" s="7"/>
      <c r="B316" s="19" t="s">
        <v>1032</v>
      </c>
      <c r="C316" s="20" t="s">
        <v>983</v>
      </c>
      <c r="D316" s="20" t="s">
        <v>489</v>
      </c>
      <c r="E316" s="20" t="s">
        <v>13</v>
      </c>
      <c r="F316" s="20">
        <v>37</v>
      </c>
      <c r="G316" s="20">
        <v>74.1</v>
      </c>
      <c r="H316" s="20" t="s">
        <v>87</v>
      </c>
      <c r="I316" s="20" t="str">
        <f>VLOOKUP(H316,Sheet4!A:B,2,)</f>
        <v>Gunmetal Machine Face</v>
      </c>
      <c r="J316" s="42">
        <v>0</v>
      </c>
    </row>
    <row r="317" s="6" customFormat="1" ht="22" customHeight="1" spans="1:10">
      <c r="A317" s="7"/>
      <c r="B317" s="19" t="s">
        <v>1033</v>
      </c>
      <c r="C317" s="20" t="s">
        <v>983</v>
      </c>
      <c r="D317" s="20" t="s">
        <v>489</v>
      </c>
      <c r="E317" s="20" t="s">
        <v>13</v>
      </c>
      <c r="F317" s="20">
        <v>37</v>
      </c>
      <c r="G317" s="20">
        <v>74.1</v>
      </c>
      <c r="H317" s="20" t="s">
        <v>16</v>
      </c>
      <c r="I317" s="20" t="str">
        <f>VLOOKUP(H317,Sheet4!A:B,2,)</f>
        <v>GLOSS BLACK</v>
      </c>
      <c r="J317" s="42">
        <v>0</v>
      </c>
    </row>
    <row r="318" s="6" customFormat="1" ht="22" customHeight="1" spans="1:10">
      <c r="A318" s="7"/>
      <c r="B318" s="19" t="s">
        <v>1034</v>
      </c>
      <c r="C318" s="20" t="s">
        <v>983</v>
      </c>
      <c r="D318" s="20" t="s">
        <v>489</v>
      </c>
      <c r="E318" s="20" t="s">
        <v>13</v>
      </c>
      <c r="F318" s="20">
        <v>37</v>
      </c>
      <c r="G318" s="20">
        <v>74.1</v>
      </c>
      <c r="H318" s="20" t="s">
        <v>36</v>
      </c>
      <c r="I318" s="20" t="str">
        <f>VLOOKUP(H318,Sheet4!A:B,2,)</f>
        <v>Black Machine Face</v>
      </c>
      <c r="J318" s="42">
        <f>4-4+8-4-4+12-4-4-4+4+4-4</f>
        <v>4</v>
      </c>
    </row>
    <row r="319" s="6" customFormat="1" ht="22" customHeight="1" spans="1:10">
      <c r="A319" s="7"/>
      <c r="B319" s="19" t="s">
        <v>1035</v>
      </c>
      <c r="C319" s="20" t="s">
        <v>983</v>
      </c>
      <c r="D319" s="20" t="s">
        <v>225</v>
      </c>
      <c r="E319" s="20" t="s">
        <v>208</v>
      </c>
      <c r="F319" s="20">
        <v>37</v>
      </c>
      <c r="G319" s="20">
        <v>66.5</v>
      </c>
      <c r="H319" s="20" t="s">
        <v>36</v>
      </c>
      <c r="I319" s="20" t="str">
        <f>VLOOKUP(H319,Sheet4!A:B,2,)</f>
        <v>Black Machine Face</v>
      </c>
      <c r="J319" s="42">
        <f>2-2+2-2+2+4</f>
        <v>6</v>
      </c>
    </row>
    <row r="320" s="6" customFormat="1" ht="22" customHeight="1" spans="1:10">
      <c r="A320" s="7"/>
      <c r="B320" s="19" t="s">
        <v>1035</v>
      </c>
      <c r="C320" s="20" t="s">
        <v>983</v>
      </c>
      <c r="D320" s="20" t="s">
        <v>487</v>
      </c>
      <c r="E320" s="20" t="s">
        <v>208</v>
      </c>
      <c r="F320" s="20">
        <v>43</v>
      </c>
      <c r="G320" s="20">
        <v>66.5</v>
      </c>
      <c r="H320" s="20" t="s">
        <v>36</v>
      </c>
      <c r="I320" s="20" t="str">
        <f>VLOOKUP(H320,Sheet4!A:B,2,)</f>
        <v>Black Machine Face</v>
      </c>
      <c r="J320" s="42">
        <f>2+2-1-1-2+2-2+2+4</f>
        <v>6</v>
      </c>
    </row>
    <row r="321" s="6" customFormat="1" ht="22" customHeight="1" spans="1:10">
      <c r="A321" s="7"/>
      <c r="B321" s="19" t="s">
        <v>1036</v>
      </c>
      <c r="C321" s="20" t="s">
        <v>983</v>
      </c>
      <c r="D321" s="19" t="s">
        <v>225</v>
      </c>
      <c r="E321" s="19" t="s">
        <v>208</v>
      </c>
      <c r="F321" s="19">
        <v>37</v>
      </c>
      <c r="G321" s="19">
        <v>66.5</v>
      </c>
      <c r="H321" s="19" t="s">
        <v>16</v>
      </c>
      <c r="I321" s="19" t="str">
        <f>VLOOKUP(H321,Sheet4!A:B,2,)</f>
        <v>GLOSS BLACK</v>
      </c>
      <c r="J321" s="21">
        <f>2+4-2-2-2+2</f>
        <v>2</v>
      </c>
    </row>
    <row r="322" s="6" customFormat="1" ht="22" customHeight="1" spans="1:10">
      <c r="A322" s="7"/>
      <c r="B322" s="19" t="s">
        <v>1036</v>
      </c>
      <c r="C322" s="20" t="s">
        <v>983</v>
      </c>
      <c r="D322" s="20" t="s">
        <v>487</v>
      </c>
      <c r="E322" s="20" t="s">
        <v>208</v>
      </c>
      <c r="F322" s="20">
        <v>43</v>
      </c>
      <c r="G322" s="20">
        <v>66.5</v>
      </c>
      <c r="H322" s="20" t="s">
        <v>16</v>
      </c>
      <c r="I322" s="20" t="str">
        <f>VLOOKUP(H322,Sheet4!A:B,2,)</f>
        <v>GLOSS BLACK</v>
      </c>
      <c r="J322" s="42">
        <f>2+4-2-2-2+2</f>
        <v>2</v>
      </c>
    </row>
    <row r="323" s="6" customFormat="1" ht="22" customHeight="1" spans="1:10">
      <c r="A323" s="7"/>
      <c r="B323" s="19" t="s">
        <v>1037</v>
      </c>
      <c r="C323" s="20" t="s">
        <v>983</v>
      </c>
      <c r="D323" s="20" t="s">
        <v>878</v>
      </c>
      <c r="E323" s="20" t="s">
        <v>13</v>
      </c>
      <c r="F323" s="20">
        <v>40</v>
      </c>
      <c r="G323" s="20">
        <v>74.1</v>
      </c>
      <c r="H323" s="20" t="s">
        <v>16</v>
      </c>
      <c r="I323" s="20" t="str">
        <f>VLOOKUP(H323,Sheet4!A:B,2,)</f>
        <v>GLOSS BLACK</v>
      </c>
      <c r="J323" s="42">
        <f>2-2+2-2+4-2-2</f>
        <v>0</v>
      </c>
    </row>
    <row r="324" s="6" customFormat="1" ht="22" customHeight="1" spans="1:10">
      <c r="A324" s="7"/>
      <c r="B324" s="19" t="s">
        <v>1037</v>
      </c>
      <c r="C324" s="20" t="s">
        <v>983</v>
      </c>
      <c r="D324" s="20" t="s">
        <v>994</v>
      </c>
      <c r="E324" s="20" t="s">
        <v>13</v>
      </c>
      <c r="F324" s="20">
        <v>37</v>
      </c>
      <c r="G324" s="20">
        <v>74.1</v>
      </c>
      <c r="H324" s="20" t="s">
        <v>16</v>
      </c>
      <c r="I324" s="20" t="str">
        <f>VLOOKUP(H324,Sheet4!A:B,2,)</f>
        <v>GLOSS BLACK</v>
      </c>
      <c r="J324" s="42">
        <f>2-2+2-2+4-2-2</f>
        <v>0</v>
      </c>
    </row>
    <row r="325" s="6" customFormat="1" ht="22" customHeight="1" spans="1:10">
      <c r="A325" s="7"/>
      <c r="B325" s="19" t="s">
        <v>1038</v>
      </c>
      <c r="C325" s="20" t="s">
        <v>983</v>
      </c>
      <c r="D325" s="20" t="s">
        <v>878</v>
      </c>
      <c r="E325" s="20" t="s">
        <v>13</v>
      </c>
      <c r="F325" s="20">
        <v>40</v>
      </c>
      <c r="G325" s="20">
        <v>66.5</v>
      </c>
      <c r="H325" s="20" t="s">
        <v>36</v>
      </c>
      <c r="I325" s="20" t="str">
        <f>VLOOKUP(H325,Sheet4!A:B,2,)</f>
        <v>Black Machine Face</v>
      </c>
      <c r="J325" s="21">
        <f>6-2-2-2+2-2+2-2+2-2+2+2-2-2+2-2+2+2-2-2+2</f>
        <v>2</v>
      </c>
    </row>
    <row r="326" s="6" customFormat="1" ht="22" customHeight="1" spans="1:10">
      <c r="A326" s="7"/>
      <c r="B326" s="19" t="s">
        <v>1038</v>
      </c>
      <c r="C326" s="20" t="s">
        <v>983</v>
      </c>
      <c r="D326" s="20" t="s">
        <v>994</v>
      </c>
      <c r="E326" s="20" t="s">
        <v>13</v>
      </c>
      <c r="F326" s="20">
        <v>37</v>
      </c>
      <c r="G326" s="20">
        <v>66.5</v>
      </c>
      <c r="H326" s="20" t="s">
        <v>36</v>
      </c>
      <c r="I326" s="20" t="str">
        <f>VLOOKUP(H326,Sheet4!A:B,2,)</f>
        <v>Black Machine Face</v>
      </c>
      <c r="J326" s="21">
        <f>6-2-2-2+2-2+2-2+2-2+2+2-2-2+2-2+2+2-2-1-1+2</f>
        <v>2</v>
      </c>
    </row>
    <row r="327" s="6" customFormat="1" ht="22" customHeight="1" spans="1:10">
      <c r="A327" s="7"/>
      <c r="B327" s="19" t="s">
        <v>1039</v>
      </c>
      <c r="C327" s="20" t="s">
        <v>983</v>
      </c>
      <c r="D327" s="20" t="s">
        <v>39</v>
      </c>
      <c r="E327" s="20" t="s">
        <v>208</v>
      </c>
      <c r="F327" s="20">
        <v>37</v>
      </c>
      <c r="G327" s="20">
        <v>66.5</v>
      </c>
      <c r="H327" s="20" t="s">
        <v>16</v>
      </c>
      <c r="I327" s="20" t="str">
        <f>VLOOKUP(H327,Sheet4!A:B,2,)</f>
        <v>GLOSS BLACK</v>
      </c>
      <c r="J327" s="42">
        <f>6-2-2-2+4-2-2+2-2+2-2+2-2+2-2</f>
        <v>0</v>
      </c>
    </row>
    <row r="328" s="6" customFormat="1" ht="22" customHeight="1" spans="1:10">
      <c r="A328" s="7"/>
      <c r="B328" s="19" t="s">
        <v>1039</v>
      </c>
      <c r="C328" s="20" t="s">
        <v>983</v>
      </c>
      <c r="D328" s="20" t="s">
        <v>493</v>
      </c>
      <c r="E328" s="20" t="s">
        <v>208</v>
      </c>
      <c r="F328" s="20">
        <v>40</v>
      </c>
      <c r="G328" s="20">
        <v>66.5</v>
      </c>
      <c r="H328" s="20" t="s">
        <v>16</v>
      </c>
      <c r="I328" s="20" t="str">
        <f>VLOOKUP(H328,Sheet4!A:B,2,)</f>
        <v>GLOSS BLACK</v>
      </c>
      <c r="J328" s="42">
        <f>4-2-2+2-2+2-2+2-2+2-2</f>
        <v>0</v>
      </c>
    </row>
    <row r="329" s="6" customFormat="1" ht="22" customHeight="1" spans="1:10">
      <c r="A329" s="7"/>
      <c r="B329" s="19" t="s">
        <v>1040</v>
      </c>
      <c r="C329" s="20" t="s">
        <v>983</v>
      </c>
      <c r="D329" s="20" t="s">
        <v>39</v>
      </c>
      <c r="E329" s="20" t="s">
        <v>208</v>
      </c>
      <c r="F329" s="20">
        <v>37</v>
      </c>
      <c r="G329" s="20">
        <v>66.5</v>
      </c>
      <c r="H329" s="20" t="s">
        <v>21</v>
      </c>
      <c r="I329" s="20" t="str">
        <f>VLOOKUP(H329,Sheet4!A:B,2,)</f>
        <v>Black Machine Face</v>
      </c>
      <c r="J329" s="42">
        <f>2-2+2-2+2-2+2-2+2-2</f>
        <v>0</v>
      </c>
    </row>
    <row r="330" s="6" customFormat="1" ht="22" customHeight="1" spans="1:10">
      <c r="A330" s="80"/>
      <c r="B330" s="19" t="s">
        <v>1040</v>
      </c>
      <c r="C330" s="20" t="s">
        <v>983</v>
      </c>
      <c r="D330" s="20" t="s">
        <v>493</v>
      </c>
      <c r="E330" s="20" t="s">
        <v>208</v>
      </c>
      <c r="F330" s="20">
        <v>40</v>
      </c>
      <c r="G330" s="20">
        <v>66.5</v>
      </c>
      <c r="H330" s="20" t="s">
        <v>21</v>
      </c>
      <c r="I330" s="20" t="str">
        <f>VLOOKUP(H330,Sheet4!A:B,2,)</f>
        <v>Black Machine Face</v>
      </c>
      <c r="J330" s="42">
        <f>2-2+2-2+2-2+2-2+2-2</f>
        <v>0</v>
      </c>
    </row>
    <row r="331" s="6" customFormat="1" ht="22" customHeight="1" spans="1:10">
      <c r="A331" s="7"/>
      <c r="B331" s="19" t="s">
        <v>1041</v>
      </c>
      <c r="C331" s="20" t="s">
        <v>983</v>
      </c>
      <c r="D331" s="20" t="s">
        <v>556</v>
      </c>
      <c r="E331" s="20" t="s">
        <v>13</v>
      </c>
      <c r="F331" s="20">
        <v>40</v>
      </c>
      <c r="G331" s="20">
        <v>74.1</v>
      </c>
      <c r="H331" s="20" t="s">
        <v>21</v>
      </c>
      <c r="I331" s="20" t="str">
        <f>VLOOKUP(H331,Sheet4!A:B,2,)</f>
        <v>Black Machine Face</v>
      </c>
      <c r="J331" s="42">
        <f>4-2-2</f>
        <v>0</v>
      </c>
    </row>
    <row r="332" s="6" customFormat="1" ht="22" customHeight="1" spans="1:10">
      <c r="A332" s="80"/>
      <c r="B332" s="23" t="s">
        <v>1041</v>
      </c>
      <c r="C332" s="24" t="s">
        <v>983</v>
      </c>
      <c r="D332" s="24" t="s">
        <v>1024</v>
      </c>
      <c r="E332" s="24" t="s">
        <v>13</v>
      </c>
      <c r="F332" s="24">
        <v>37</v>
      </c>
      <c r="G332" s="24">
        <v>74.1</v>
      </c>
      <c r="H332" s="24" t="s">
        <v>21</v>
      </c>
      <c r="I332" s="24" t="str">
        <f>VLOOKUP(H332,Sheet4!A:B,2,)</f>
        <v>Black Machine Face</v>
      </c>
      <c r="J332" s="43">
        <f>4-2-2</f>
        <v>0</v>
      </c>
    </row>
    <row r="333" s="6" customFormat="1" ht="23" customHeight="1" spans="1:10">
      <c r="A333" s="7"/>
      <c r="B333" s="19" t="s">
        <v>1042</v>
      </c>
      <c r="C333" s="20" t="s">
        <v>983</v>
      </c>
      <c r="D333" s="20" t="s">
        <v>225</v>
      </c>
      <c r="E333" s="20" t="s">
        <v>208</v>
      </c>
      <c r="F333" s="20">
        <v>35</v>
      </c>
      <c r="G333" s="20">
        <v>66.56</v>
      </c>
      <c r="H333" s="20" t="s">
        <v>21</v>
      </c>
      <c r="I333" s="20" t="str">
        <f>VLOOKUP(H333,Sheet4!A:B,2,)</f>
        <v>Black Machine Face</v>
      </c>
      <c r="J333" s="42">
        <f>6-2-2</f>
        <v>2</v>
      </c>
    </row>
    <row r="334" s="6" customFormat="1" ht="23" customHeight="1" spans="1:10">
      <c r="A334" s="7"/>
      <c r="B334" s="19" t="s">
        <v>1042</v>
      </c>
      <c r="C334" s="20" t="s">
        <v>983</v>
      </c>
      <c r="D334" s="20" t="s">
        <v>487</v>
      </c>
      <c r="E334" s="20" t="s">
        <v>208</v>
      </c>
      <c r="F334" s="20">
        <v>40</v>
      </c>
      <c r="G334" s="20">
        <v>66.56</v>
      </c>
      <c r="H334" s="20" t="s">
        <v>21</v>
      </c>
      <c r="I334" s="20" t="str">
        <f>VLOOKUP(H334,Sheet4!A:B,2,)</f>
        <v>Black Machine Face</v>
      </c>
      <c r="J334" s="42">
        <f>6-2-2</f>
        <v>2</v>
      </c>
    </row>
    <row r="335" s="6" customFormat="1" ht="23" customHeight="1" spans="1:10">
      <c r="A335" s="7"/>
      <c r="B335" s="19" t="s">
        <v>1043</v>
      </c>
      <c r="C335" s="20" t="s">
        <v>983</v>
      </c>
      <c r="D335" s="20" t="s">
        <v>878</v>
      </c>
      <c r="E335" s="20" t="s">
        <v>13</v>
      </c>
      <c r="F335" s="20">
        <v>40</v>
      </c>
      <c r="G335" s="20">
        <v>74.1</v>
      </c>
      <c r="H335" s="20" t="s">
        <v>424</v>
      </c>
      <c r="I335" s="20" t="str">
        <f>VLOOKUP(H335,Sheet4!A:B,2,)</f>
        <v>Black Machine+BLACK COATING</v>
      </c>
      <c r="J335" s="42">
        <f>2-2+2-2+4-2+2-2-2+2-2</f>
        <v>0</v>
      </c>
    </row>
    <row r="336" s="6" customFormat="1" ht="23" customHeight="1" spans="1:10">
      <c r="A336" s="7"/>
      <c r="B336" s="19" t="s">
        <v>1043</v>
      </c>
      <c r="C336" s="20" t="s">
        <v>983</v>
      </c>
      <c r="D336" s="20" t="s">
        <v>994</v>
      </c>
      <c r="E336" s="20" t="s">
        <v>13</v>
      </c>
      <c r="F336" s="20">
        <v>37</v>
      </c>
      <c r="G336" s="20">
        <v>74.1</v>
      </c>
      <c r="H336" s="20" t="s">
        <v>424</v>
      </c>
      <c r="I336" s="20" t="str">
        <f>VLOOKUP(H336,Sheet4!A:B,2,)</f>
        <v>Black Machine+BLACK COATING</v>
      </c>
      <c r="J336" s="42">
        <f>2-2+2-2+4-2+2-2-2</f>
        <v>0</v>
      </c>
    </row>
    <row r="337" s="6" customFormat="1" ht="23" customHeight="1" spans="1:10">
      <c r="A337" s="7"/>
      <c r="B337" s="19" t="s">
        <v>1044</v>
      </c>
      <c r="C337" s="20" t="s">
        <v>983</v>
      </c>
      <c r="D337" s="20" t="s">
        <v>878</v>
      </c>
      <c r="E337" s="20" t="s">
        <v>13</v>
      </c>
      <c r="F337" s="20">
        <v>40</v>
      </c>
      <c r="G337" s="20">
        <v>74.1</v>
      </c>
      <c r="H337" s="20" t="s">
        <v>16</v>
      </c>
      <c r="I337" s="20" t="str">
        <f>VLOOKUP(H337,Sheet4!A:B,2,)</f>
        <v>GLOSS BLACK</v>
      </c>
      <c r="J337" s="42">
        <f>2-2+6-2-2-2+6-2</f>
        <v>4</v>
      </c>
    </row>
    <row r="338" s="6" customFormat="1" ht="23" customHeight="1" spans="1:10">
      <c r="A338" s="7"/>
      <c r="B338" s="19" t="s">
        <v>1044</v>
      </c>
      <c r="C338" s="20" t="s">
        <v>983</v>
      </c>
      <c r="D338" s="20" t="s">
        <v>994</v>
      </c>
      <c r="E338" s="20" t="s">
        <v>13</v>
      </c>
      <c r="F338" s="20">
        <v>37</v>
      </c>
      <c r="G338" s="20">
        <v>74.1</v>
      </c>
      <c r="H338" s="20" t="s">
        <v>16</v>
      </c>
      <c r="I338" s="20" t="str">
        <f>VLOOKUP(H338,Sheet4!A:B,2,)</f>
        <v>GLOSS BLACK</v>
      </c>
      <c r="J338" s="42">
        <f>2-2+6-2-2-2+6-2</f>
        <v>4</v>
      </c>
    </row>
    <row r="339" s="6" customFormat="1" ht="23" customHeight="1" spans="1:10">
      <c r="A339" s="7"/>
      <c r="B339" s="19" t="s">
        <v>1045</v>
      </c>
      <c r="C339" s="20" t="s">
        <v>983</v>
      </c>
      <c r="D339" s="19" t="s">
        <v>39</v>
      </c>
      <c r="E339" s="20" t="s">
        <v>208</v>
      </c>
      <c r="F339" s="20">
        <v>37</v>
      </c>
      <c r="G339" s="20">
        <v>66.56</v>
      </c>
      <c r="H339" s="20" t="s">
        <v>16</v>
      </c>
      <c r="I339" s="20" t="str">
        <f>VLOOKUP(H339,Sheet4!A:B,2,)</f>
        <v>GLOSS BLACK</v>
      </c>
      <c r="J339" s="42">
        <f>10-2</f>
        <v>8</v>
      </c>
    </row>
    <row r="340" s="6" customFormat="1" ht="23" customHeight="1" spans="1:10">
      <c r="A340" s="7"/>
      <c r="B340" s="19" t="s">
        <v>1045</v>
      </c>
      <c r="C340" s="20" t="s">
        <v>983</v>
      </c>
      <c r="D340" s="19" t="s">
        <v>493</v>
      </c>
      <c r="E340" s="20" t="s">
        <v>208</v>
      </c>
      <c r="F340" s="20">
        <v>40</v>
      </c>
      <c r="G340" s="20">
        <v>66.56</v>
      </c>
      <c r="H340" s="20" t="s">
        <v>16</v>
      </c>
      <c r="I340" s="20" t="str">
        <f>VLOOKUP(H340,Sheet4!A:B,2,)</f>
        <v>GLOSS BLACK</v>
      </c>
      <c r="J340" s="42">
        <f>10-2</f>
        <v>8</v>
      </c>
    </row>
    <row r="341" s="6" customFormat="1" ht="23" customHeight="1" spans="1:10">
      <c r="A341" s="7"/>
      <c r="B341" s="19" t="s">
        <v>1046</v>
      </c>
      <c r="C341" s="20" t="s">
        <v>983</v>
      </c>
      <c r="D341" s="20" t="s">
        <v>556</v>
      </c>
      <c r="E341" s="20" t="s">
        <v>13</v>
      </c>
      <c r="F341" s="20">
        <v>40</v>
      </c>
      <c r="G341" s="20">
        <v>74.1</v>
      </c>
      <c r="H341" s="20" t="s">
        <v>424</v>
      </c>
      <c r="I341" s="20" t="str">
        <f>VLOOKUP(H341,Sheet4!A:B,2,)</f>
        <v>Black Machine+BLACK COATING</v>
      </c>
      <c r="J341" s="42">
        <v>0</v>
      </c>
    </row>
    <row r="342" s="6" customFormat="1" ht="23" customHeight="1" spans="1:10">
      <c r="A342" s="7"/>
      <c r="B342" s="19" t="s">
        <v>1046</v>
      </c>
      <c r="C342" s="20" t="s">
        <v>983</v>
      </c>
      <c r="D342" s="20" t="s">
        <v>1024</v>
      </c>
      <c r="E342" s="20" t="s">
        <v>13</v>
      </c>
      <c r="F342" s="20">
        <v>37</v>
      </c>
      <c r="G342" s="20">
        <v>74.1</v>
      </c>
      <c r="H342" s="20" t="s">
        <v>424</v>
      </c>
      <c r="I342" s="20" t="str">
        <f>VLOOKUP(H342,Sheet4!A:B,2,)</f>
        <v>Black Machine+BLACK COATING</v>
      </c>
      <c r="J342" s="42">
        <v>0</v>
      </c>
    </row>
    <row r="343" s="6" customFormat="1" ht="23" customHeight="1" spans="1:10">
      <c r="A343" s="7"/>
      <c r="B343" s="19" t="s">
        <v>1047</v>
      </c>
      <c r="C343" s="20" t="s">
        <v>983</v>
      </c>
      <c r="D343" s="20" t="s">
        <v>556</v>
      </c>
      <c r="E343" s="20" t="s">
        <v>13</v>
      </c>
      <c r="F343" s="20">
        <v>40</v>
      </c>
      <c r="G343" s="20">
        <v>74.1</v>
      </c>
      <c r="H343" s="20" t="s">
        <v>16</v>
      </c>
      <c r="I343" s="20" t="str">
        <f>VLOOKUP(H343,Sheet4!A:B,2,)</f>
        <v>GLOSS BLACK</v>
      </c>
      <c r="J343" s="42">
        <f>6-2-2</f>
        <v>2</v>
      </c>
    </row>
    <row r="344" s="6" customFormat="1" ht="23" customHeight="1" spans="1:10">
      <c r="A344" s="7"/>
      <c r="B344" s="19" t="s">
        <v>1047</v>
      </c>
      <c r="C344" s="20" t="s">
        <v>983</v>
      </c>
      <c r="D344" s="20" t="s">
        <v>1024</v>
      </c>
      <c r="E344" s="20" t="s">
        <v>13</v>
      </c>
      <c r="F344" s="20">
        <v>37</v>
      </c>
      <c r="G344" s="20">
        <v>74.1</v>
      </c>
      <c r="H344" s="20" t="s">
        <v>16</v>
      </c>
      <c r="I344" s="20" t="str">
        <f>VLOOKUP(H344,Sheet4!A:B,2,)</f>
        <v>GLOSS BLACK</v>
      </c>
      <c r="J344" s="42">
        <f>6-2-2</f>
        <v>2</v>
      </c>
    </row>
    <row r="345" s="6" customFormat="1" ht="23" customHeight="1" spans="1:10">
      <c r="A345" s="7"/>
      <c r="B345" s="19" t="s">
        <v>1048</v>
      </c>
      <c r="C345" s="20" t="s">
        <v>983</v>
      </c>
      <c r="D345" s="19" t="s">
        <v>39</v>
      </c>
      <c r="E345" s="20" t="s">
        <v>208</v>
      </c>
      <c r="F345" s="20">
        <v>37</v>
      </c>
      <c r="G345" s="20">
        <v>66.56</v>
      </c>
      <c r="H345" s="20" t="s">
        <v>424</v>
      </c>
      <c r="I345" s="20" t="str">
        <f>VLOOKUP(H345,Sheet4!A:B,2,)</f>
        <v>Black Machine+BLACK COATING</v>
      </c>
      <c r="J345" s="42">
        <f>2-2+2-2+2-2</f>
        <v>0</v>
      </c>
    </row>
    <row r="346" s="6" customFormat="1" ht="23" customHeight="1" spans="1:10">
      <c r="A346" s="7"/>
      <c r="B346" s="19" t="s">
        <v>1048</v>
      </c>
      <c r="C346" s="20" t="s">
        <v>983</v>
      </c>
      <c r="D346" s="19" t="s">
        <v>493</v>
      </c>
      <c r="E346" s="20" t="s">
        <v>208</v>
      </c>
      <c r="F346" s="20">
        <v>40</v>
      </c>
      <c r="G346" s="20">
        <v>66.56</v>
      </c>
      <c r="H346" s="20" t="s">
        <v>424</v>
      </c>
      <c r="I346" s="20" t="str">
        <f>VLOOKUP(H346,Sheet4!A:B,2,)</f>
        <v>Black Machine+BLACK COATING</v>
      </c>
      <c r="J346" s="42">
        <f>2-2+2-2+2-2</f>
        <v>0</v>
      </c>
    </row>
    <row r="347" s="6" customFormat="1" ht="23" customHeight="1" spans="1:10">
      <c r="A347" s="7"/>
      <c r="B347" s="19" t="s">
        <v>1049</v>
      </c>
      <c r="C347" s="20" t="s">
        <v>983</v>
      </c>
      <c r="D347" s="20" t="s">
        <v>34</v>
      </c>
      <c r="E347" s="20" t="s">
        <v>208</v>
      </c>
      <c r="F347" s="20">
        <v>30</v>
      </c>
      <c r="G347" s="20">
        <v>66.56</v>
      </c>
      <c r="H347" s="20" t="s">
        <v>424</v>
      </c>
      <c r="I347" s="20" t="str">
        <f>VLOOKUP(H347,Sheet4!A:B,2,)</f>
        <v>Black Machine+BLACK COATING</v>
      </c>
      <c r="J347" s="42">
        <f t="shared" ref="J347:J350" si="1">2-2</f>
        <v>0</v>
      </c>
    </row>
    <row r="348" s="6" customFormat="1" ht="23" customHeight="1" spans="1:10">
      <c r="A348" s="7"/>
      <c r="B348" s="19" t="s">
        <v>1049</v>
      </c>
      <c r="C348" s="20" t="s">
        <v>983</v>
      </c>
      <c r="D348" s="20" t="s">
        <v>990</v>
      </c>
      <c r="E348" s="20" t="s">
        <v>208</v>
      </c>
      <c r="F348" s="20">
        <v>35</v>
      </c>
      <c r="G348" s="20">
        <v>66.56</v>
      </c>
      <c r="H348" s="20" t="s">
        <v>424</v>
      </c>
      <c r="I348" s="20" t="str">
        <f>VLOOKUP(H348,Sheet4!A:B,2,)</f>
        <v>Black Machine+BLACK COATING</v>
      </c>
      <c r="J348" s="42">
        <f t="shared" si="1"/>
        <v>0</v>
      </c>
    </row>
    <row r="349" s="6" customFormat="1" ht="23" customHeight="1" spans="1:10">
      <c r="A349" s="7"/>
      <c r="B349" s="19" t="s">
        <v>1050</v>
      </c>
      <c r="C349" s="20" t="s">
        <v>983</v>
      </c>
      <c r="D349" s="20" t="s">
        <v>34</v>
      </c>
      <c r="E349" s="20" t="s">
        <v>208</v>
      </c>
      <c r="F349" s="20">
        <v>30</v>
      </c>
      <c r="G349" s="20">
        <v>66.56</v>
      </c>
      <c r="H349" s="20" t="s">
        <v>16</v>
      </c>
      <c r="I349" s="20" t="str">
        <f>VLOOKUP(H349,Sheet4!A:B,2,)</f>
        <v>GLOSS BLACK</v>
      </c>
      <c r="J349" s="42">
        <f>6-2</f>
        <v>4</v>
      </c>
    </row>
    <row r="350" s="265" customFormat="1" ht="23" customHeight="1" spans="1:10">
      <c r="A350" s="80"/>
      <c r="B350" s="23" t="s">
        <v>1050</v>
      </c>
      <c r="C350" s="24" t="s">
        <v>983</v>
      </c>
      <c r="D350" s="24" t="s">
        <v>990</v>
      </c>
      <c r="E350" s="24" t="s">
        <v>208</v>
      </c>
      <c r="F350" s="24">
        <v>35</v>
      </c>
      <c r="G350" s="24">
        <v>66.56</v>
      </c>
      <c r="H350" s="24" t="s">
        <v>16</v>
      </c>
      <c r="I350" s="24" t="str">
        <f>VLOOKUP(H350,Sheet4!A:B,2,)</f>
        <v>GLOSS BLACK</v>
      </c>
      <c r="J350" s="43">
        <f>6-2</f>
        <v>4</v>
      </c>
    </row>
    <row r="351" s="6" customFormat="1" ht="56" customHeight="1" spans="1:10">
      <c r="A351" s="7"/>
      <c r="B351" s="19" t="s">
        <v>1051</v>
      </c>
      <c r="C351" s="20" t="s">
        <v>983</v>
      </c>
      <c r="D351" s="20" t="s">
        <v>39</v>
      </c>
      <c r="E351" s="20" t="s">
        <v>208</v>
      </c>
      <c r="F351" s="20">
        <v>35</v>
      </c>
      <c r="G351" s="20">
        <v>66.5</v>
      </c>
      <c r="H351" s="20" t="s">
        <v>102</v>
      </c>
      <c r="I351" s="20" t="str">
        <f>VLOOKUP(H351,Sheet4!A:B,2,)</f>
        <v>MATTE BLACK</v>
      </c>
      <c r="J351" s="42">
        <f>6-2-2-2+8-2-2</f>
        <v>4</v>
      </c>
    </row>
    <row r="352" s="6" customFormat="1" ht="56" customHeight="1" spans="1:10">
      <c r="A352" s="80"/>
      <c r="B352" s="23" t="s">
        <v>1051</v>
      </c>
      <c r="C352" s="24" t="s">
        <v>983</v>
      </c>
      <c r="D352" s="24" t="s">
        <v>493</v>
      </c>
      <c r="E352" s="24" t="s">
        <v>208</v>
      </c>
      <c r="F352" s="24">
        <v>38</v>
      </c>
      <c r="G352" s="24">
        <v>66.5</v>
      </c>
      <c r="H352" s="24" t="s">
        <v>102</v>
      </c>
      <c r="I352" s="24" t="str">
        <f>VLOOKUP(H352,Sheet4!A:B,2,)</f>
        <v>MATTE BLACK</v>
      </c>
      <c r="J352" s="43">
        <f>6-2-2-2+8-2-2</f>
        <v>4</v>
      </c>
    </row>
    <row r="353" s="6" customFormat="1" ht="68" customHeight="1" spans="1:10">
      <c r="A353" s="7"/>
      <c r="B353" s="19" t="s">
        <v>1052</v>
      </c>
      <c r="C353" s="148" t="s">
        <v>1053</v>
      </c>
      <c r="D353" s="20" t="s">
        <v>225</v>
      </c>
      <c r="E353" s="20" t="s">
        <v>208</v>
      </c>
      <c r="F353" s="20">
        <v>35</v>
      </c>
      <c r="G353" s="20">
        <v>66.5</v>
      </c>
      <c r="H353" s="20" t="s">
        <v>36</v>
      </c>
      <c r="I353" s="20" t="str">
        <f>VLOOKUP(H353,Sheet4!A:B,2,)</f>
        <v>Black Machine Face</v>
      </c>
      <c r="J353" s="42">
        <v>2</v>
      </c>
    </row>
    <row r="354" s="6" customFormat="1" ht="68" customHeight="1" spans="1:10">
      <c r="A354" s="80"/>
      <c r="B354" s="23" t="s">
        <v>1052</v>
      </c>
      <c r="C354" s="156" t="s">
        <v>1053</v>
      </c>
      <c r="D354" s="24" t="s">
        <v>487</v>
      </c>
      <c r="E354" s="24" t="s">
        <v>208</v>
      </c>
      <c r="F354" s="24">
        <v>40</v>
      </c>
      <c r="G354" s="24">
        <v>66.5</v>
      </c>
      <c r="H354" s="24" t="s">
        <v>36</v>
      </c>
      <c r="I354" s="24" t="str">
        <f>VLOOKUP(H354,Sheet4!A:B,2,)</f>
        <v>Black Machine Face</v>
      </c>
      <c r="J354" s="43">
        <v>2</v>
      </c>
    </row>
    <row r="355" s="6" customFormat="1" ht="27" customHeight="1" spans="1:10">
      <c r="A355" s="7"/>
      <c r="B355" s="19" t="s">
        <v>1054</v>
      </c>
      <c r="C355" s="20" t="s">
        <v>1055</v>
      </c>
      <c r="D355" s="20" t="s">
        <v>489</v>
      </c>
      <c r="E355" s="20" t="s">
        <v>13</v>
      </c>
      <c r="F355" s="20">
        <v>37</v>
      </c>
      <c r="G355" s="20">
        <v>74.1</v>
      </c>
      <c r="H355" s="20" t="s">
        <v>87</v>
      </c>
      <c r="I355" s="20" t="str">
        <f>VLOOKUP(H355,Sheet4!A:B,2,)</f>
        <v>Gunmetal Machine Face</v>
      </c>
      <c r="J355" s="42">
        <f>8-4-4+8-4+8-4-4-4+8-4-4+8-4-4+4-4+4-4+12</f>
        <v>12</v>
      </c>
    </row>
    <row r="356" s="6" customFormat="1" ht="27" customHeight="1" spans="1:10">
      <c r="A356" s="7"/>
      <c r="B356" s="19" t="s">
        <v>1056</v>
      </c>
      <c r="C356" s="20" t="s">
        <v>1055</v>
      </c>
      <c r="D356" s="20" t="s">
        <v>878</v>
      </c>
      <c r="E356" s="20" t="s">
        <v>13</v>
      </c>
      <c r="F356" s="20">
        <v>40</v>
      </c>
      <c r="G356" s="20">
        <v>74.1</v>
      </c>
      <c r="H356" s="20" t="s">
        <v>87</v>
      </c>
      <c r="I356" s="20" t="str">
        <f>VLOOKUP(H356,Sheet4!A:B,2,)</f>
        <v>Gunmetal Machine Face</v>
      </c>
      <c r="J356" s="21">
        <f>1+2-2+2-2+2+2-2-2+4-2-2+4-2-2</f>
        <v>1</v>
      </c>
    </row>
    <row r="357" s="6" customFormat="1" ht="27" customHeight="1" spans="1:10">
      <c r="A357" s="7"/>
      <c r="B357" s="19" t="s">
        <v>1056</v>
      </c>
      <c r="C357" s="20" t="s">
        <v>1055</v>
      </c>
      <c r="D357" s="20" t="s">
        <v>994</v>
      </c>
      <c r="E357" s="20" t="s">
        <v>13</v>
      </c>
      <c r="F357" s="20">
        <v>37</v>
      </c>
      <c r="G357" s="20">
        <v>74.1</v>
      </c>
      <c r="H357" s="20" t="s">
        <v>87</v>
      </c>
      <c r="I357" s="20" t="str">
        <f>VLOOKUP(H357,Sheet4!A:B,2,)</f>
        <v>Gunmetal Machine Face</v>
      </c>
      <c r="J357" s="21">
        <f>2-2+2-2+2+2-2-2+4-2-2+4-2-2</f>
        <v>0</v>
      </c>
    </row>
    <row r="358" s="6" customFormat="1" ht="27" customHeight="1" spans="1:10">
      <c r="A358" s="7"/>
      <c r="B358" s="19" t="s">
        <v>1057</v>
      </c>
      <c r="C358" s="20" t="s">
        <v>1055</v>
      </c>
      <c r="D358" s="20" t="s">
        <v>556</v>
      </c>
      <c r="E358" s="20" t="s">
        <v>13</v>
      </c>
      <c r="F358" s="20">
        <v>40</v>
      </c>
      <c r="G358" s="20">
        <v>74.1</v>
      </c>
      <c r="H358" s="20" t="s">
        <v>87</v>
      </c>
      <c r="I358" s="20" t="str">
        <f>VLOOKUP(H358,Sheet4!A:B,2,)</f>
        <v>Gunmetal Machine Face</v>
      </c>
      <c r="J358" s="21">
        <f>1-1</f>
        <v>0</v>
      </c>
    </row>
    <row r="359" s="6" customFormat="1" ht="27" customHeight="1" spans="1:10">
      <c r="A359" s="80"/>
      <c r="B359" s="23" t="s">
        <v>1057</v>
      </c>
      <c r="C359" s="24" t="s">
        <v>1055</v>
      </c>
      <c r="D359" s="24" t="s">
        <v>1024</v>
      </c>
      <c r="E359" s="24" t="s">
        <v>13</v>
      </c>
      <c r="F359" s="24">
        <v>37</v>
      </c>
      <c r="G359" s="24">
        <v>74.1</v>
      </c>
      <c r="H359" s="24" t="s">
        <v>87</v>
      </c>
      <c r="I359" s="24" t="str">
        <f>VLOOKUP(H359,Sheet4!A:B,2,)</f>
        <v>Gunmetal Machine Face</v>
      </c>
      <c r="J359" s="25">
        <f>1-1</f>
        <v>0</v>
      </c>
    </row>
    <row r="360" s="6" customFormat="1" ht="63" customHeight="1" spans="1:10">
      <c r="A360" s="7"/>
      <c r="B360" s="134" t="s">
        <v>1058</v>
      </c>
      <c r="C360" s="20" t="s">
        <v>1055</v>
      </c>
      <c r="D360" s="142" t="s">
        <v>878</v>
      </c>
      <c r="E360" s="20" t="s">
        <v>13</v>
      </c>
      <c r="F360" s="142">
        <v>40</v>
      </c>
      <c r="G360" s="142">
        <v>74.1</v>
      </c>
      <c r="H360" s="148" t="s">
        <v>826</v>
      </c>
      <c r="I360" s="148" t="str">
        <f>VLOOKUP(H360,Sheet4!A:B,2,)</f>
        <v>Gunmetal Machine Face</v>
      </c>
      <c r="J360" s="42">
        <v>1</v>
      </c>
    </row>
    <row r="361" s="6" customFormat="1" ht="63" customHeight="1" spans="1:10">
      <c r="A361" s="80"/>
      <c r="B361" s="155" t="s">
        <v>1059</v>
      </c>
      <c r="C361" s="24" t="s">
        <v>1055</v>
      </c>
      <c r="D361" s="146" t="s">
        <v>994</v>
      </c>
      <c r="E361" s="24" t="s">
        <v>13</v>
      </c>
      <c r="F361" s="146">
        <v>37</v>
      </c>
      <c r="G361" s="146">
        <v>74.1</v>
      </c>
      <c r="H361" s="156" t="s">
        <v>1060</v>
      </c>
      <c r="I361" s="156" t="str">
        <f>VLOOKUP(H361,Sheet4!A:B,2,)</f>
        <v>gloss black</v>
      </c>
      <c r="J361" s="43">
        <v>1</v>
      </c>
    </row>
    <row r="362" s="6" customFormat="1" ht="53" customHeight="1" spans="1:10">
      <c r="A362" s="7"/>
      <c r="B362" s="134" t="s">
        <v>1061</v>
      </c>
      <c r="C362" s="20" t="s">
        <v>1062</v>
      </c>
      <c r="D362" s="141" t="s">
        <v>878</v>
      </c>
      <c r="E362" s="141" t="s">
        <v>13</v>
      </c>
      <c r="F362" s="141">
        <v>40</v>
      </c>
      <c r="G362" s="20">
        <v>74.1</v>
      </c>
      <c r="H362" s="141" t="s">
        <v>439</v>
      </c>
      <c r="I362" s="141" t="str">
        <f>VLOOKUP(H362,Sheet4!A:B,2,)</f>
        <v>Gunmetal Machine Face</v>
      </c>
      <c r="J362" s="21">
        <f>2-1-1</f>
        <v>0</v>
      </c>
    </row>
    <row r="363" s="6" customFormat="1" ht="53" customHeight="1" spans="1:10">
      <c r="A363" s="80"/>
      <c r="B363" s="155" t="s">
        <v>1061</v>
      </c>
      <c r="C363" s="24" t="s">
        <v>1062</v>
      </c>
      <c r="D363" s="145" t="s">
        <v>994</v>
      </c>
      <c r="E363" s="145" t="s">
        <v>13</v>
      </c>
      <c r="F363" s="145">
        <v>37</v>
      </c>
      <c r="G363" s="24">
        <v>74.1</v>
      </c>
      <c r="H363" s="145" t="s">
        <v>439</v>
      </c>
      <c r="I363" s="145" t="str">
        <f>VLOOKUP(H363,Sheet4!A:B,2,)</f>
        <v>Gunmetal Machine Face</v>
      </c>
      <c r="J363" s="25">
        <v>0</v>
      </c>
    </row>
    <row r="364" s="197" customFormat="1" ht="28" customHeight="1" spans="1:10">
      <c r="A364" s="257"/>
      <c r="B364" s="19" t="s">
        <v>1063</v>
      </c>
      <c r="C364" s="20" t="s">
        <v>1064</v>
      </c>
      <c r="D364" s="19" t="s">
        <v>34</v>
      </c>
      <c r="E364" s="20" t="s">
        <v>208</v>
      </c>
      <c r="F364" s="142">
        <v>30</v>
      </c>
      <c r="G364" s="142">
        <v>66.5</v>
      </c>
      <c r="H364" s="20" t="s">
        <v>21</v>
      </c>
      <c r="I364" s="20" t="str">
        <f>VLOOKUP(H364,Sheet4!A:B,2,)</f>
        <v>Black Machine Face</v>
      </c>
      <c r="J364" s="21">
        <v>0</v>
      </c>
    </row>
    <row r="365" s="197" customFormat="1" ht="28" customHeight="1" spans="1:10">
      <c r="A365" s="257"/>
      <c r="B365" s="19" t="s">
        <v>1063</v>
      </c>
      <c r="C365" s="20" t="s">
        <v>1064</v>
      </c>
      <c r="D365" s="19" t="s">
        <v>990</v>
      </c>
      <c r="E365" s="20" t="s">
        <v>208</v>
      </c>
      <c r="F365" s="142">
        <v>35</v>
      </c>
      <c r="G365" s="142">
        <v>66.5</v>
      </c>
      <c r="H365" s="20" t="s">
        <v>21</v>
      </c>
      <c r="I365" s="20" t="str">
        <f>VLOOKUP(H365,Sheet4!A:B,2,)</f>
        <v>Black Machine Face</v>
      </c>
      <c r="J365" s="21">
        <v>0</v>
      </c>
    </row>
    <row r="366" s="197" customFormat="1" ht="28" customHeight="1" spans="1:10">
      <c r="A366" s="257"/>
      <c r="B366" s="19" t="s">
        <v>1065</v>
      </c>
      <c r="C366" s="20" t="s">
        <v>1064</v>
      </c>
      <c r="D366" s="19" t="s">
        <v>431</v>
      </c>
      <c r="E366" s="20" t="s">
        <v>208</v>
      </c>
      <c r="F366" s="142">
        <v>30</v>
      </c>
      <c r="G366" s="142">
        <v>66.5</v>
      </c>
      <c r="H366" s="20" t="s">
        <v>21</v>
      </c>
      <c r="I366" s="20" t="str">
        <f>VLOOKUP(H366,Sheet4!A:B,2,)</f>
        <v>Black Machine Face</v>
      </c>
      <c r="J366" s="21">
        <f>2-2+2-2</f>
        <v>0</v>
      </c>
    </row>
    <row r="367" s="197" customFormat="1" ht="28" customHeight="1" spans="1:10">
      <c r="A367" s="258"/>
      <c r="B367" s="23" t="s">
        <v>1065</v>
      </c>
      <c r="C367" s="24" t="s">
        <v>1064</v>
      </c>
      <c r="D367" s="23" t="s">
        <v>1066</v>
      </c>
      <c r="E367" s="24" t="s">
        <v>208</v>
      </c>
      <c r="F367" s="146">
        <v>35</v>
      </c>
      <c r="G367" s="146">
        <v>66.5</v>
      </c>
      <c r="H367" s="24" t="s">
        <v>21</v>
      </c>
      <c r="I367" s="24" t="str">
        <f>VLOOKUP(H367,Sheet4!A:B,2,)</f>
        <v>Black Machine Face</v>
      </c>
      <c r="J367" s="25">
        <f>2-2+2-2</f>
        <v>0</v>
      </c>
    </row>
    <row r="368" s="6" customFormat="1" ht="48" customHeight="1" spans="1:10">
      <c r="A368" s="7"/>
      <c r="B368" s="19" t="s">
        <v>1067</v>
      </c>
      <c r="C368" s="20" t="s">
        <v>1064</v>
      </c>
      <c r="D368" s="20" t="s">
        <v>39</v>
      </c>
      <c r="E368" s="20" t="s">
        <v>208</v>
      </c>
      <c r="F368" s="20">
        <v>36</v>
      </c>
      <c r="G368" s="20">
        <v>66.5</v>
      </c>
      <c r="H368" s="20" t="s">
        <v>87</v>
      </c>
      <c r="I368" s="20" t="str">
        <f>VLOOKUP(H368,Sheet4!A:B,2,)</f>
        <v>Gunmetal Machine Face</v>
      </c>
      <c r="J368" s="42">
        <f>4-4</f>
        <v>0</v>
      </c>
    </row>
    <row r="369" s="6" customFormat="1" ht="48" customHeight="1" spans="1:10">
      <c r="A369" s="7"/>
      <c r="B369" s="19" t="s">
        <v>1068</v>
      </c>
      <c r="C369" s="20" t="s">
        <v>1064</v>
      </c>
      <c r="D369" s="20" t="s">
        <v>39</v>
      </c>
      <c r="E369" s="20" t="s">
        <v>208</v>
      </c>
      <c r="F369" s="20">
        <v>36</v>
      </c>
      <c r="G369" s="20">
        <v>66.5</v>
      </c>
      <c r="H369" s="20" t="s">
        <v>21</v>
      </c>
      <c r="I369" s="20" t="str">
        <f>VLOOKUP(H369,Sheet4!A:B,2,)</f>
        <v>Black Machine Face</v>
      </c>
      <c r="J369" s="42">
        <f>4-4</f>
        <v>0</v>
      </c>
    </row>
    <row r="370" s="6" customFormat="1" ht="48" customHeight="1" spans="1:10">
      <c r="A370" s="7"/>
      <c r="B370" s="19" t="s">
        <v>1069</v>
      </c>
      <c r="C370" s="148" t="s">
        <v>1064</v>
      </c>
      <c r="D370" s="20" t="s">
        <v>34</v>
      </c>
      <c r="E370" s="20" t="s">
        <v>208</v>
      </c>
      <c r="F370" s="20">
        <v>30</v>
      </c>
      <c r="G370" s="20">
        <v>66.56</v>
      </c>
      <c r="H370" s="20" t="s">
        <v>16</v>
      </c>
      <c r="I370" s="20" t="str">
        <f>VLOOKUP(H370,Sheet4!A:B,2,)</f>
        <v>GLOSS BLACK</v>
      </c>
      <c r="J370" s="42">
        <v>0</v>
      </c>
    </row>
    <row r="371" s="6" customFormat="1" ht="48" customHeight="1" spans="1:10">
      <c r="A371" s="80"/>
      <c r="B371" s="23" t="s">
        <v>1069</v>
      </c>
      <c r="C371" s="156" t="s">
        <v>1064</v>
      </c>
      <c r="D371" s="24" t="s">
        <v>990</v>
      </c>
      <c r="E371" s="24" t="s">
        <v>208</v>
      </c>
      <c r="F371" s="24">
        <v>35</v>
      </c>
      <c r="G371" s="24">
        <v>66.56</v>
      </c>
      <c r="H371" s="24" t="s">
        <v>16</v>
      </c>
      <c r="I371" s="24" t="str">
        <f>VLOOKUP(H371,Sheet4!A:B,2,)</f>
        <v>GLOSS BLACK</v>
      </c>
      <c r="J371" s="43">
        <v>0</v>
      </c>
    </row>
    <row r="372" s="6" customFormat="1" ht="31" customHeight="1" spans="1:10">
      <c r="A372" s="7"/>
      <c r="B372" s="19" t="s">
        <v>1070</v>
      </c>
      <c r="C372" s="20" t="s">
        <v>1064</v>
      </c>
      <c r="D372" s="20" t="s">
        <v>39</v>
      </c>
      <c r="E372" s="20" t="s">
        <v>208</v>
      </c>
      <c r="F372" s="20">
        <v>36</v>
      </c>
      <c r="G372" s="20">
        <v>66.5</v>
      </c>
      <c r="H372" s="20" t="s">
        <v>36</v>
      </c>
      <c r="I372" s="20" t="str">
        <f>VLOOKUP(H372,Sheet4!A:B,2,)</f>
        <v>Black Machine Face</v>
      </c>
      <c r="J372" s="42">
        <f>4-4</f>
        <v>0</v>
      </c>
    </row>
    <row r="373" s="6" customFormat="1" ht="31" customHeight="1" spans="1:10">
      <c r="A373" s="7"/>
      <c r="B373" s="19" t="s">
        <v>1071</v>
      </c>
      <c r="C373" s="20" t="s">
        <v>1064</v>
      </c>
      <c r="D373" s="20" t="s">
        <v>39</v>
      </c>
      <c r="E373" s="20" t="s">
        <v>208</v>
      </c>
      <c r="F373" s="20">
        <v>36</v>
      </c>
      <c r="G373" s="20">
        <v>66.5</v>
      </c>
      <c r="H373" s="20" t="s">
        <v>16</v>
      </c>
      <c r="I373" s="20" t="str">
        <f>VLOOKUP(H373,Sheet4!A:B,2,)</f>
        <v>GLOSS BLACK</v>
      </c>
      <c r="J373" s="42">
        <f>14-2</f>
        <v>12</v>
      </c>
    </row>
    <row r="374" s="6" customFormat="1" ht="31" customHeight="1" spans="1:10">
      <c r="A374" s="7"/>
      <c r="B374" s="19" t="s">
        <v>1072</v>
      </c>
      <c r="C374" s="20" t="s">
        <v>1064</v>
      </c>
      <c r="D374" s="20" t="s">
        <v>493</v>
      </c>
      <c r="E374" s="20" t="s">
        <v>208</v>
      </c>
      <c r="F374" s="20">
        <v>40</v>
      </c>
      <c r="G374" s="20">
        <v>66.5</v>
      </c>
      <c r="H374" s="20" t="s">
        <v>16</v>
      </c>
      <c r="I374" s="20" t="str">
        <f>VLOOKUP(H374,Sheet4!A:B,2,)</f>
        <v>GLOSS BLACK</v>
      </c>
      <c r="J374" s="42">
        <f>6-2</f>
        <v>4</v>
      </c>
    </row>
    <row r="375" s="6" customFormat="1" ht="31" customHeight="1" spans="1:10">
      <c r="A375" s="7"/>
      <c r="B375" s="19" t="s">
        <v>1073</v>
      </c>
      <c r="C375" s="20" t="s">
        <v>1064</v>
      </c>
      <c r="D375" s="20" t="s">
        <v>34</v>
      </c>
      <c r="E375" s="20" t="s">
        <v>208</v>
      </c>
      <c r="F375" s="20">
        <v>30</v>
      </c>
      <c r="G375" s="20">
        <v>66.5</v>
      </c>
      <c r="H375" s="20" t="s">
        <v>21</v>
      </c>
      <c r="I375" s="20" t="str">
        <f>VLOOKUP(H375,Sheet4!A:B,2,)</f>
        <v>Black Machine Face</v>
      </c>
      <c r="J375" s="42">
        <f t="shared" ref="J375:J378" si="2">2-2</f>
        <v>0</v>
      </c>
    </row>
    <row r="376" s="6" customFormat="1" ht="31" customHeight="1" spans="1:10">
      <c r="A376" s="7"/>
      <c r="B376" s="19" t="s">
        <v>1073</v>
      </c>
      <c r="C376" s="20" t="s">
        <v>1064</v>
      </c>
      <c r="D376" s="20" t="s">
        <v>990</v>
      </c>
      <c r="E376" s="20" t="s">
        <v>208</v>
      </c>
      <c r="F376" s="20">
        <v>35</v>
      </c>
      <c r="G376" s="20">
        <v>66.5</v>
      </c>
      <c r="H376" s="20" t="s">
        <v>21</v>
      </c>
      <c r="I376" s="20" t="str">
        <f>VLOOKUP(H376,Sheet4!A:B,2,)</f>
        <v>Black Machine Face</v>
      </c>
      <c r="J376" s="42">
        <f t="shared" si="2"/>
        <v>0</v>
      </c>
    </row>
    <row r="377" s="6" customFormat="1" ht="31" customHeight="1" spans="1:10">
      <c r="A377" s="7"/>
      <c r="B377" s="19" t="s">
        <v>1074</v>
      </c>
      <c r="C377" s="20" t="s">
        <v>1064</v>
      </c>
      <c r="D377" s="20" t="s">
        <v>34</v>
      </c>
      <c r="E377" s="20" t="s">
        <v>208</v>
      </c>
      <c r="F377" s="20">
        <v>30</v>
      </c>
      <c r="G377" s="20">
        <v>66.5</v>
      </c>
      <c r="H377" s="20" t="s">
        <v>16</v>
      </c>
      <c r="I377" s="20" t="str">
        <f>VLOOKUP(H377,Sheet4!A:B,2,)</f>
        <v>GLOSS BLACK</v>
      </c>
      <c r="J377" s="42">
        <f>4-2-2+6-2-2-2+10-6-2</f>
        <v>2</v>
      </c>
    </row>
    <row r="378" s="6" customFormat="1" ht="31" customHeight="1" spans="1:10">
      <c r="A378" s="80"/>
      <c r="B378" s="23" t="s">
        <v>1074</v>
      </c>
      <c r="C378" s="24" t="s">
        <v>1064</v>
      </c>
      <c r="D378" s="24" t="s">
        <v>990</v>
      </c>
      <c r="E378" s="24" t="s">
        <v>208</v>
      </c>
      <c r="F378" s="24">
        <v>35</v>
      </c>
      <c r="G378" s="24">
        <v>66.5</v>
      </c>
      <c r="H378" s="24" t="s">
        <v>16</v>
      </c>
      <c r="I378" s="24" t="str">
        <f>VLOOKUP(H378,Sheet4!A:B,2,)</f>
        <v>GLOSS BLACK</v>
      </c>
      <c r="J378" s="43">
        <f>4-2-2+6-2-2-2+10-6-2</f>
        <v>2</v>
      </c>
    </row>
    <row r="379" s="197" customFormat="1" ht="24" customHeight="1" spans="1:10">
      <c r="A379" s="257"/>
      <c r="B379" s="19" t="s">
        <v>1075</v>
      </c>
      <c r="C379" s="20" t="s">
        <v>1064</v>
      </c>
      <c r="D379" s="20" t="s">
        <v>39</v>
      </c>
      <c r="E379" s="20" t="s">
        <v>208</v>
      </c>
      <c r="F379" s="20">
        <v>35</v>
      </c>
      <c r="G379" s="20">
        <v>66.5</v>
      </c>
      <c r="H379" s="20" t="s">
        <v>21</v>
      </c>
      <c r="I379" s="20" t="str">
        <f>VLOOKUP(H379,Sheet4!A:B,2,)</f>
        <v>Black Machine Face</v>
      </c>
      <c r="J379" s="42">
        <f>8-4-4+4-4+8-4+4-4-4</f>
        <v>0</v>
      </c>
    </row>
    <row r="380" s="197" customFormat="1" ht="24" customHeight="1" spans="1:10">
      <c r="A380" s="257"/>
      <c r="B380" s="19" t="s">
        <v>1076</v>
      </c>
      <c r="C380" s="20" t="s">
        <v>1064</v>
      </c>
      <c r="D380" s="20" t="s">
        <v>34</v>
      </c>
      <c r="E380" s="20" t="s">
        <v>208</v>
      </c>
      <c r="F380" s="20">
        <v>30</v>
      </c>
      <c r="G380" s="20">
        <v>66.5</v>
      </c>
      <c r="H380" s="20" t="s">
        <v>21</v>
      </c>
      <c r="I380" s="20" t="str">
        <f>VLOOKUP(H380,Sheet4!A:B,2,)</f>
        <v>Black Machine Face</v>
      </c>
      <c r="J380" s="42">
        <f>2-2+4-2+2-2-2+8-2+2-2-2+2+6-2+2-6-2-2</f>
        <v>2</v>
      </c>
    </row>
    <row r="381" s="197" customFormat="1" ht="24" customHeight="1" spans="1:10">
      <c r="A381" s="257"/>
      <c r="B381" s="19" t="s">
        <v>1076</v>
      </c>
      <c r="C381" s="20" t="s">
        <v>1064</v>
      </c>
      <c r="D381" s="20" t="s">
        <v>990</v>
      </c>
      <c r="E381" s="20" t="s">
        <v>208</v>
      </c>
      <c r="F381" s="20">
        <v>35</v>
      </c>
      <c r="G381" s="20">
        <v>66.5</v>
      </c>
      <c r="H381" s="20" t="s">
        <v>21</v>
      </c>
      <c r="I381" s="20" t="str">
        <f>VLOOKUP(H381,Sheet4!A:B,2,)</f>
        <v>Black Machine Face</v>
      </c>
      <c r="J381" s="42">
        <f>2-2+4-2+2-2-2+8-2+2-2-2+2-2+2-2-2</f>
        <v>2</v>
      </c>
    </row>
    <row r="382" s="197" customFormat="1" ht="24" customHeight="1" spans="1:10">
      <c r="A382" s="257"/>
      <c r="B382" s="19" t="s">
        <v>1077</v>
      </c>
      <c r="C382" s="20" t="s">
        <v>1064</v>
      </c>
      <c r="D382" s="20" t="s">
        <v>431</v>
      </c>
      <c r="E382" s="20" t="s">
        <v>208</v>
      </c>
      <c r="F382" s="20">
        <v>30</v>
      </c>
      <c r="G382" s="20">
        <v>66.5</v>
      </c>
      <c r="H382" s="20" t="s">
        <v>21</v>
      </c>
      <c r="I382" s="20" t="str">
        <f>VLOOKUP(H382,Sheet4!A:B,2,)</f>
        <v>Black Machine Face</v>
      </c>
      <c r="J382" s="42">
        <f>2-2+2-2+2+2-2-2+4-4+2</f>
        <v>2</v>
      </c>
    </row>
    <row r="383" s="197" customFormat="1" ht="24" customHeight="1" spans="1:10">
      <c r="A383" s="258"/>
      <c r="B383" s="23" t="s">
        <v>1077</v>
      </c>
      <c r="C383" s="24" t="s">
        <v>1064</v>
      </c>
      <c r="D383" s="24" t="s">
        <v>1066</v>
      </c>
      <c r="E383" s="24" t="s">
        <v>208</v>
      </c>
      <c r="F383" s="24">
        <v>35</v>
      </c>
      <c r="G383" s="24">
        <v>66.5</v>
      </c>
      <c r="H383" s="24" t="s">
        <v>21</v>
      </c>
      <c r="I383" s="24" t="str">
        <f>VLOOKUP(H383,Sheet4!A:B,2,)</f>
        <v>Black Machine Face</v>
      </c>
      <c r="J383" s="43">
        <f>2-2+2-2+2+2-2-2+4-4+2</f>
        <v>2</v>
      </c>
    </row>
    <row r="384" s="197" customFormat="1" ht="23" customHeight="1" spans="1:10">
      <c r="A384" s="257"/>
      <c r="B384" s="19" t="s">
        <v>1078</v>
      </c>
      <c r="C384" s="20" t="s">
        <v>1064</v>
      </c>
      <c r="D384" s="20" t="s">
        <v>39</v>
      </c>
      <c r="E384" s="20" t="s">
        <v>208</v>
      </c>
      <c r="F384" s="20">
        <v>37</v>
      </c>
      <c r="G384" s="20">
        <v>66.5</v>
      </c>
      <c r="H384" s="20" t="s">
        <v>21</v>
      </c>
      <c r="I384" s="20" t="str">
        <f>VLOOKUP(H384,Sheet4!A:B,2,)</f>
        <v>Black Machine Face</v>
      </c>
      <c r="J384" s="42">
        <f>2-2+2-2+8-4-4+8-4</f>
        <v>4</v>
      </c>
    </row>
    <row r="385" s="197" customFormat="1" ht="23" customHeight="1" spans="1:10">
      <c r="A385" s="257"/>
      <c r="B385" s="19" t="s">
        <v>1079</v>
      </c>
      <c r="C385" s="20" t="s">
        <v>1064</v>
      </c>
      <c r="D385" s="20" t="s">
        <v>34</v>
      </c>
      <c r="E385" s="20" t="s">
        <v>208</v>
      </c>
      <c r="F385" s="142">
        <v>30</v>
      </c>
      <c r="G385" s="20">
        <v>66.5</v>
      </c>
      <c r="H385" s="20" t="s">
        <v>21</v>
      </c>
      <c r="I385" s="20" t="str">
        <f>VLOOKUP(H385,Sheet4!A:B,2,)</f>
        <v>Black Machine Face</v>
      </c>
      <c r="J385" s="42">
        <v>0</v>
      </c>
    </row>
    <row r="386" s="197" customFormat="1" ht="23" customHeight="1" spans="1:10">
      <c r="A386" s="257"/>
      <c r="B386" s="19" t="s">
        <v>1079</v>
      </c>
      <c r="C386" s="20" t="s">
        <v>1064</v>
      </c>
      <c r="D386" s="20" t="s">
        <v>990</v>
      </c>
      <c r="E386" s="20" t="s">
        <v>208</v>
      </c>
      <c r="F386" s="142">
        <v>35</v>
      </c>
      <c r="G386" s="20">
        <v>66.5</v>
      </c>
      <c r="H386" s="20" t="s">
        <v>21</v>
      </c>
      <c r="I386" s="20" t="str">
        <f>VLOOKUP(H386,Sheet4!A:B,2,)</f>
        <v>Black Machine Face</v>
      </c>
      <c r="J386" s="42">
        <v>0</v>
      </c>
    </row>
    <row r="387" s="197" customFormat="1" ht="23" customHeight="1" spans="1:10">
      <c r="A387" s="257"/>
      <c r="B387" s="19" t="s">
        <v>1080</v>
      </c>
      <c r="C387" s="20" t="s">
        <v>1064</v>
      </c>
      <c r="D387" s="20" t="s">
        <v>431</v>
      </c>
      <c r="E387" s="20" t="s">
        <v>208</v>
      </c>
      <c r="F387" s="142">
        <v>30</v>
      </c>
      <c r="G387" s="20">
        <v>66.5</v>
      </c>
      <c r="H387" s="20" t="s">
        <v>21</v>
      </c>
      <c r="I387" s="20" t="str">
        <f>VLOOKUP(H387,Sheet4!A:B,2,)</f>
        <v>Black Machine Face</v>
      </c>
      <c r="J387" s="42">
        <f>2-2+2-2+2-2+2-2+2+2</f>
        <v>4</v>
      </c>
    </row>
    <row r="388" s="197" customFormat="1" ht="23" customHeight="1" spans="1:10">
      <c r="A388" s="258"/>
      <c r="B388" s="23" t="s">
        <v>1080</v>
      </c>
      <c r="C388" s="24" t="s">
        <v>1064</v>
      </c>
      <c r="D388" s="24" t="s">
        <v>1066</v>
      </c>
      <c r="E388" s="24" t="s">
        <v>208</v>
      </c>
      <c r="F388" s="146">
        <v>35</v>
      </c>
      <c r="G388" s="24">
        <v>66.5</v>
      </c>
      <c r="H388" s="24" t="s">
        <v>21</v>
      </c>
      <c r="I388" s="24" t="str">
        <f>VLOOKUP(H388,Sheet4!A:B,2,)</f>
        <v>Black Machine Face</v>
      </c>
      <c r="J388" s="43">
        <f>2-2+2-2+2-2+2-2+2+2</f>
        <v>4</v>
      </c>
    </row>
    <row r="389" ht="33" customHeight="1"/>
    <row r="390" ht="33" customHeight="1"/>
    <row r="391" ht="33" customHeight="1"/>
    <row r="392" ht="33" customHeight="1"/>
    <row r="393" ht="33" customHeight="1"/>
    <row r="394" ht="33" customHeight="1"/>
    <row r="395" ht="33" customHeight="1"/>
    <row r="396" ht="23" customHeight="1"/>
    <row r="397" ht="23" customHeight="1"/>
    <row r="398" ht="23" customHeight="1"/>
    <row r="399" ht="23" customHeight="1"/>
    <row r="400" ht="23" customHeight="1"/>
    <row r="401" ht="23" customHeight="1"/>
    <row r="402" ht="23" customHeight="1"/>
    <row r="403" ht="23" customHeight="1"/>
    <row r="404" ht="23" customHeight="1"/>
    <row r="405" ht="23" customHeight="1"/>
    <row r="406" ht="23" customHeight="1"/>
    <row r="407" ht="23" customHeight="1"/>
  </sheetData>
  <autoFilter xmlns:etc="http://www.wps.cn/officeDocument/2017/etCustomData" ref="A2:J388" etc:filterBottomFollowUsedRange="0">
    <extLst/>
  </autoFilter>
  <mergeCells count="81">
    <mergeCell ref="A3:A6"/>
    <mergeCell ref="A7:A8"/>
    <mergeCell ref="A9:A12"/>
    <mergeCell ref="A16:A20"/>
    <mergeCell ref="A21:A27"/>
    <mergeCell ref="A28:A31"/>
    <mergeCell ref="A32:A33"/>
    <mergeCell ref="A34:A38"/>
    <mergeCell ref="A39:A43"/>
    <mergeCell ref="A47:A48"/>
    <mergeCell ref="A51:A52"/>
    <mergeCell ref="A53:A58"/>
    <mergeCell ref="A59:A60"/>
    <mergeCell ref="A61:A62"/>
    <mergeCell ref="A63:A64"/>
    <mergeCell ref="A65:A66"/>
    <mergeCell ref="A67:A73"/>
    <mergeCell ref="A74:A76"/>
    <mergeCell ref="A77:A81"/>
    <mergeCell ref="A82:A85"/>
    <mergeCell ref="A86:A91"/>
    <mergeCell ref="A92:A97"/>
    <mergeCell ref="A98:A101"/>
    <mergeCell ref="A102:A107"/>
    <mergeCell ref="A108:A113"/>
    <mergeCell ref="A114:A120"/>
    <mergeCell ref="A121:A125"/>
    <mergeCell ref="A126:A132"/>
    <mergeCell ref="A133:A139"/>
    <mergeCell ref="A141:A146"/>
    <mergeCell ref="A147:A148"/>
    <mergeCell ref="A149:A151"/>
    <mergeCell ref="A152:A156"/>
    <mergeCell ref="A157:A158"/>
    <mergeCell ref="A159:A160"/>
    <mergeCell ref="A161:A162"/>
    <mergeCell ref="A163:A168"/>
    <mergeCell ref="A169:A174"/>
    <mergeCell ref="A175:A178"/>
    <mergeCell ref="A179:A181"/>
    <mergeCell ref="A182:A184"/>
    <mergeCell ref="A185:A191"/>
    <mergeCell ref="A203:A206"/>
    <mergeCell ref="A207:A210"/>
    <mergeCell ref="A212:A217"/>
    <mergeCell ref="A218:A219"/>
    <mergeCell ref="A220:A225"/>
    <mergeCell ref="A226:A231"/>
    <mergeCell ref="A232:A235"/>
    <mergeCell ref="A236:A241"/>
    <mergeCell ref="A242:A244"/>
    <mergeCell ref="A245:A246"/>
    <mergeCell ref="A248:A249"/>
    <mergeCell ref="A250:A251"/>
    <mergeCell ref="A252:A254"/>
    <mergeCell ref="A255:A256"/>
    <mergeCell ref="A257:A260"/>
    <mergeCell ref="A261:A266"/>
    <mergeCell ref="A267:A272"/>
    <mergeCell ref="A273:A277"/>
    <mergeCell ref="A278:A283"/>
    <mergeCell ref="A286:A291"/>
    <mergeCell ref="A292:A298"/>
    <mergeCell ref="A299:A306"/>
    <mergeCell ref="A307:A311"/>
    <mergeCell ref="A312:A314"/>
    <mergeCell ref="A315:A320"/>
    <mergeCell ref="A321:A326"/>
    <mergeCell ref="A327:A332"/>
    <mergeCell ref="A333:A341"/>
    <mergeCell ref="A342:A348"/>
    <mergeCell ref="A353:A354"/>
    <mergeCell ref="A355:A359"/>
    <mergeCell ref="A360:A361"/>
    <mergeCell ref="A362:A363"/>
    <mergeCell ref="A364:A367"/>
    <mergeCell ref="A368:A369"/>
    <mergeCell ref="A370:A371"/>
    <mergeCell ref="A372:A376"/>
    <mergeCell ref="A379:A383"/>
    <mergeCell ref="A384:A388"/>
  </mergeCells>
  <pageMargins left="0.0388888888888889" right="0.0784722222222222" top="0.472222222222222" bottom="0.275" header="0.5" footer="0.156944444444444"/>
  <pageSetup paperSize="9" scale="78" orientation="portrait" horizontalDpi="600"/>
  <headerFooter>
    <oddFooter>&amp;C&amp;14&amp;B宝马   第 &amp;P 页，共 &amp;N 页</oddFooter>
  </headerFooter>
  <rowBreaks count="1" manualBreakCount="1">
    <brk id="388" max="16383" man="1"/>
  </rowBreaks>
  <ignoredErrors>
    <ignoredError sqref="I54:I62" evalError="1"/>
    <ignoredError sqref="G262:G268" numberStoredAsText="1"/>
  </ignoredErrors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indexed="29"/>
  </sheetPr>
  <dimension ref="A1:J365"/>
  <sheetViews>
    <sheetView workbookViewId="0">
      <pane xSplit="1" ySplit="2" topLeftCell="B273" activePane="bottomRight" state="frozen"/>
      <selection/>
      <selection pane="topRight"/>
      <selection pane="bottomLeft"/>
      <selection pane="bottomRight" activeCell="G287" sqref="G287"/>
    </sheetView>
  </sheetViews>
  <sheetFormatPr defaultColWidth="9" defaultRowHeight="13.5"/>
  <cols>
    <col min="1" max="1" width="22" style="92" customWidth="1"/>
    <col min="2" max="2" width="20.9666666666667" style="128" customWidth="1"/>
    <col min="3" max="3" width="18.75" style="91" customWidth="1"/>
    <col min="4" max="4" width="14.25" style="91" customWidth="1"/>
    <col min="5" max="5" width="13.125" style="91" customWidth="1"/>
    <col min="6" max="6" width="9.5" style="91" customWidth="1"/>
    <col min="7" max="7" width="12.125" style="91" customWidth="1"/>
    <col min="8" max="8" width="17" style="91" customWidth="1"/>
    <col min="9" max="9" width="29.25" style="91" customWidth="1"/>
    <col min="10" max="10" width="13.6916666666667" style="92" customWidth="1"/>
    <col min="11" max="16384" width="9" style="92"/>
  </cols>
  <sheetData>
    <row r="1" s="92" customFormat="1" ht="85" customHeight="1" spans="1:10">
      <c r="B1" s="128"/>
      <c r="C1" s="91"/>
      <c r="D1" s="91"/>
      <c r="E1" s="91"/>
      <c r="F1" s="91"/>
      <c r="G1" s="91"/>
      <c r="H1" s="91"/>
      <c r="I1" s="91"/>
    </row>
    <row r="2" s="5" customFormat="1" ht="26" customHeight="1" spans="1:10">
      <c r="A2" s="198" t="s">
        <v>0</v>
      </c>
      <c r="B2" s="199" t="s">
        <v>1</v>
      </c>
      <c r="C2" s="199" t="s">
        <v>2</v>
      </c>
      <c r="D2" s="199" t="s">
        <v>3</v>
      </c>
      <c r="E2" s="199" t="s">
        <v>4</v>
      </c>
      <c r="F2" s="199" t="s">
        <v>5</v>
      </c>
      <c r="G2" s="199" t="s">
        <v>6</v>
      </c>
      <c r="H2" s="199" t="s">
        <v>7</v>
      </c>
      <c r="I2" s="199" t="s">
        <v>8</v>
      </c>
      <c r="J2" s="200" t="s">
        <v>9</v>
      </c>
    </row>
    <row r="3" s="92" customFormat="1" ht="61" customHeight="1" spans="1:10">
      <c r="A3" s="201"/>
      <c r="B3" s="202" t="s">
        <v>1081</v>
      </c>
      <c r="C3" s="203" t="s">
        <v>1082</v>
      </c>
      <c r="D3" s="204" t="s">
        <v>23</v>
      </c>
      <c r="E3" s="203" t="s">
        <v>208</v>
      </c>
      <c r="F3" s="203">
        <v>32</v>
      </c>
      <c r="G3" s="203" t="s">
        <v>1083</v>
      </c>
      <c r="H3" s="203" t="s">
        <v>21</v>
      </c>
      <c r="I3" s="203" t="str">
        <f>VLOOKUP(H3,Sheet4!A:B,2,)</f>
        <v>Black Machine Face</v>
      </c>
      <c r="J3" s="205">
        <f>8-4-4+8</f>
        <v>8</v>
      </c>
    </row>
    <row r="4" s="92" customFormat="1" ht="61" customHeight="1" spans="1:10">
      <c r="A4" s="206"/>
      <c r="B4" s="202" t="s">
        <v>1084</v>
      </c>
      <c r="C4" s="207" t="s">
        <v>1082</v>
      </c>
      <c r="D4" s="204" t="s">
        <v>19</v>
      </c>
      <c r="E4" s="203" t="s">
        <v>208</v>
      </c>
      <c r="F4" s="203">
        <v>38</v>
      </c>
      <c r="G4" s="208">
        <v>66.5</v>
      </c>
      <c r="H4" s="203" t="s">
        <v>21</v>
      </c>
      <c r="I4" s="203" t="str">
        <f>VLOOKUP(H4,Sheet4!A:B,2,)</f>
        <v>Black Machine Face</v>
      </c>
      <c r="J4" s="205">
        <f>4-4+4+8-4-4-4</f>
        <v>0</v>
      </c>
    </row>
    <row r="5" s="92" customFormat="1" ht="61" customHeight="1" spans="1:10">
      <c r="A5" s="209"/>
      <c r="B5" s="210" t="s">
        <v>1085</v>
      </c>
      <c r="C5" s="203" t="s">
        <v>1082</v>
      </c>
      <c r="D5" s="211" t="s">
        <v>19</v>
      </c>
      <c r="E5" s="212" t="s">
        <v>208</v>
      </c>
      <c r="F5" s="213">
        <v>40</v>
      </c>
      <c r="G5" s="213">
        <v>66.5</v>
      </c>
      <c r="H5" s="212" t="s">
        <v>790</v>
      </c>
      <c r="I5" s="212" t="str">
        <f>VLOOKUP(H5,Sheet4!A:B,2,)</f>
        <v>MATTE Black Machine Face</v>
      </c>
      <c r="J5" s="214">
        <f>4+4-4-4+4-4+4-4+4-4+8-4-4</f>
        <v>0</v>
      </c>
    </row>
    <row r="6" s="92" customFormat="1" ht="61" customHeight="1" spans="1:10">
      <c r="A6" s="206"/>
      <c r="B6" s="215" t="s">
        <v>1086</v>
      </c>
      <c r="C6" s="216" t="s">
        <v>1082</v>
      </c>
      <c r="D6" s="217" t="s">
        <v>39</v>
      </c>
      <c r="E6" s="216" t="s">
        <v>208</v>
      </c>
      <c r="F6" s="216">
        <v>40</v>
      </c>
      <c r="G6" s="216">
        <v>66.5</v>
      </c>
      <c r="H6" s="216" t="s">
        <v>790</v>
      </c>
      <c r="I6" s="216" t="str">
        <f>VLOOKUP(H6,Sheet4!A:B,2,)</f>
        <v>MATTE Black Machine Face</v>
      </c>
      <c r="J6" s="218">
        <f>4+4-4-4+8-4-4+4-4+4</f>
        <v>4</v>
      </c>
    </row>
    <row r="7" s="92" customFormat="1" ht="114" customHeight="1" spans="1:10">
      <c r="A7" s="219"/>
      <c r="B7" s="220" t="s">
        <v>1087</v>
      </c>
      <c r="C7" s="221" t="s">
        <v>1088</v>
      </c>
      <c r="D7" s="222" t="s">
        <v>12</v>
      </c>
      <c r="E7" s="222" t="s">
        <v>208</v>
      </c>
      <c r="F7" s="222">
        <v>40</v>
      </c>
      <c r="G7" s="222">
        <v>66.56</v>
      </c>
      <c r="H7" s="222" t="s">
        <v>439</v>
      </c>
      <c r="I7" s="222" t="str">
        <f>VLOOKUP(H7,Sheet4!A:B,2,)</f>
        <v>Gunmetal Machine Face</v>
      </c>
      <c r="J7" s="223">
        <v>1</v>
      </c>
    </row>
    <row r="8" s="92" customFormat="1" ht="59" customHeight="1" spans="1:10">
      <c r="A8" s="224"/>
      <c r="B8" s="225" t="s">
        <v>1089</v>
      </c>
      <c r="C8" s="203" t="s">
        <v>1088</v>
      </c>
      <c r="D8" s="203" t="s">
        <v>12</v>
      </c>
      <c r="E8" s="203" t="s">
        <v>208</v>
      </c>
      <c r="F8" s="203">
        <v>38</v>
      </c>
      <c r="G8" s="203">
        <v>66.56</v>
      </c>
      <c r="H8" s="203" t="s">
        <v>21</v>
      </c>
      <c r="I8" s="203" t="str">
        <f>VLOOKUP(H8,Sheet4!A:B,2,)</f>
        <v>Black Machine Face</v>
      </c>
      <c r="J8" s="205">
        <v>6</v>
      </c>
    </row>
    <row r="9" s="92" customFormat="1" ht="59" customHeight="1" spans="1:10">
      <c r="A9" s="226"/>
      <c r="B9" s="217" t="s">
        <v>1090</v>
      </c>
      <c r="C9" s="207" t="s">
        <v>1088</v>
      </c>
      <c r="D9" s="207" t="s">
        <v>814</v>
      </c>
      <c r="E9" s="207" t="s">
        <v>208</v>
      </c>
      <c r="F9" s="207">
        <v>40</v>
      </c>
      <c r="G9" s="207">
        <v>66.45</v>
      </c>
      <c r="H9" s="207" t="s">
        <v>21</v>
      </c>
      <c r="I9" s="207" t="str">
        <f>VLOOKUP(H9,Sheet4!A:B,2,)</f>
        <v>Black Machine Face</v>
      </c>
      <c r="J9" s="227">
        <v>2</v>
      </c>
    </row>
    <row r="10" s="92" customFormat="1" ht="56" customHeight="1" spans="1:10">
      <c r="A10" s="224"/>
      <c r="B10" s="202" t="s">
        <v>1091</v>
      </c>
      <c r="C10" s="203" t="s">
        <v>1088</v>
      </c>
      <c r="D10" s="203" t="s">
        <v>12</v>
      </c>
      <c r="E10" s="203" t="s">
        <v>208</v>
      </c>
      <c r="F10" s="203">
        <v>38</v>
      </c>
      <c r="G10" s="203">
        <v>66.56</v>
      </c>
      <c r="H10" s="203" t="s">
        <v>21</v>
      </c>
      <c r="I10" s="203" t="str">
        <f>VLOOKUP(H10,Sheet4!A:B,2,)</f>
        <v>Black Machine Face</v>
      </c>
      <c r="J10" s="228">
        <f>4-4</f>
        <v>0</v>
      </c>
    </row>
    <row r="11" s="92" customFormat="1" ht="56" customHeight="1" spans="1:10">
      <c r="A11" s="224"/>
      <c r="B11" s="202" t="s">
        <v>1091</v>
      </c>
      <c r="C11" s="203" t="s">
        <v>1088</v>
      </c>
      <c r="D11" s="203" t="s">
        <v>814</v>
      </c>
      <c r="E11" s="203" t="s">
        <v>208</v>
      </c>
      <c r="F11" s="203">
        <v>45</v>
      </c>
      <c r="G11" s="203">
        <v>66.56</v>
      </c>
      <c r="H11" s="203" t="s">
        <v>21</v>
      </c>
      <c r="I11" s="203" t="str">
        <f>VLOOKUP(H11,Sheet4!A:B,2,)</f>
        <v>Black Machine Face</v>
      </c>
      <c r="J11" s="228">
        <f>4-2-2+4-2+2-2-2+2-2</f>
        <v>0</v>
      </c>
    </row>
    <row r="12" s="92" customFormat="1" ht="33" customHeight="1" spans="1:10">
      <c r="A12" s="229"/>
      <c r="B12" s="211" t="s">
        <v>1092</v>
      </c>
      <c r="C12" s="211" t="s">
        <v>1088</v>
      </c>
      <c r="D12" s="212" t="s">
        <v>12</v>
      </c>
      <c r="E12" s="212" t="s">
        <v>208</v>
      </c>
      <c r="F12" s="212">
        <v>36</v>
      </c>
      <c r="G12" s="212">
        <v>66.5</v>
      </c>
      <c r="H12" s="212" t="s">
        <v>1093</v>
      </c>
      <c r="I12" s="212" t="str">
        <f>VLOOKUP(H12,Sheet4!A:B,2,)</f>
        <v>Matt Black Machine Red Lip</v>
      </c>
      <c r="J12" s="214">
        <v>0</v>
      </c>
    </row>
    <row r="13" s="92" customFormat="1" ht="33" customHeight="1" spans="1:10">
      <c r="A13" s="230"/>
      <c r="B13" s="204" t="s">
        <v>1094</v>
      </c>
      <c r="C13" s="204" t="s">
        <v>1088</v>
      </c>
      <c r="D13" s="203" t="s">
        <v>12</v>
      </c>
      <c r="E13" s="203" t="s">
        <v>208</v>
      </c>
      <c r="F13" s="203">
        <v>38</v>
      </c>
      <c r="G13" s="203">
        <v>66.56</v>
      </c>
      <c r="H13" s="203" t="s">
        <v>1095</v>
      </c>
      <c r="I13" s="203" t="str">
        <f>VLOOKUP(H13,Sheet4!A:B,2,)</f>
        <v>MATTE Black LIP</v>
      </c>
      <c r="J13" s="205">
        <f>4-2+14-1+1-4-4-4+8+12-4-2-2-2-4-1-2-4+8+2-4-2+2-4-2-2+12-2-2-4-4+6+2-4+4-2-2-4+10-2-4-4+4+8-4-2-2+4-2-2-4+2</f>
        <v>3</v>
      </c>
    </row>
    <row r="14" s="92" customFormat="1" ht="33" customHeight="1" spans="1:10">
      <c r="A14" s="230"/>
      <c r="B14" s="204" t="s">
        <v>1096</v>
      </c>
      <c r="C14" s="204" t="s">
        <v>1088</v>
      </c>
      <c r="D14" s="203" t="s">
        <v>814</v>
      </c>
      <c r="E14" s="203" t="s">
        <v>208</v>
      </c>
      <c r="F14" s="203">
        <v>45</v>
      </c>
      <c r="G14" s="203">
        <v>66.56</v>
      </c>
      <c r="H14" s="203" t="s">
        <v>1095</v>
      </c>
      <c r="I14" s="203" t="str">
        <f>VLOOKUP(H14,Sheet4!A:B,2,)</f>
        <v>MATTE Black LIP</v>
      </c>
      <c r="J14" s="205">
        <f>4-4+8-2-2-2-2+2-2+2+2-2-2+4-2-2+2+2-2-2+6-2+4-2-2-2-2+2</f>
        <v>2</v>
      </c>
    </row>
    <row r="15" s="92" customFormat="1" ht="33" customHeight="1" spans="1:10">
      <c r="A15" s="230"/>
      <c r="B15" s="202" t="s">
        <v>1097</v>
      </c>
      <c r="C15" s="204" t="s">
        <v>1088</v>
      </c>
      <c r="D15" s="203" t="s">
        <v>44</v>
      </c>
      <c r="E15" s="203" t="s">
        <v>208</v>
      </c>
      <c r="F15" s="203">
        <v>36</v>
      </c>
      <c r="G15" s="203">
        <v>66.56</v>
      </c>
      <c r="H15" s="203" t="s">
        <v>1095</v>
      </c>
      <c r="I15" s="203" t="str">
        <f>VLOOKUP(H15,Sheet4!A:B,2,)</f>
        <v>MATTE Black LIP</v>
      </c>
      <c r="J15" s="205">
        <f>3+4-4-2+13-2-2-4-2-4+2-1+1+3-2+6+6-1-2-4-2-2-2+2+1-2-2+4-2-2+2-2+2+2-2-2+2-2+6-2-1-4+2-2+2</f>
        <v>2</v>
      </c>
    </row>
    <row r="16" s="92" customFormat="1" ht="33" customHeight="1" spans="1:10">
      <c r="A16" s="230"/>
      <c r="B16" s="202" t="s">
        <v>1097</v>
      </c>
      <c r="C16" s="204" t="s">
        <v>1088</v>
      </c>
      <c r="D16" s="203" t="s">
        <v>489</v>
      </c>
      <c r="E16" s="203" t="s">
        <v>208</v>
      </c>
      <c r="F16" s="203">
        <v>42</v>
      </c>
      <c r="G16" s="203">
        <v>66.56</v>
      </c>
      <c r="H16" s="203" t="s">
        <v>1095</v>
      </c>
      <c r="I16" s="203" t="str">
        <f>VLOOKUP(H16,Sheet4!A:B,2,)</f>
        <v>MATTE Black LIP</v>
      </c>
      <c r="J16" s="205">
        <f>8-2-2-2+2-2+2+6-2-2-2-2+2-2-2+4-2-2+2-2+2+2-2-2+2-2+2-2+2</f>
        <v>2</v>
      </c>
    </row>
    <row r="17" s="92" customFormat="1" ht="33" customHeight="1" spans="1:10">
      <c r="A17" s="230"/>
      <c r="B17" s="202" t="s">
        <v>1098</v>
      </c>
      <c r="C17" s="204" t="s">
        <v>1088</v>
      </c>
      <c r="D17" s="203" t="s">
        <v>44</v>
      </c>
      <c r="E17" s="203" t="s">
        <v>208</v>
      </c>
      <c r="F17" s="203">
        <v>38</v>
      </c>
      <c r="G17" s="203">
        <v>66.56</v>
      </c>
      <c r="H17" s="203" t="s">
        <v>1093</v>
      </c>
      <c r="I17" s="203" t="str">
        <f>VLOOKUP(H17,Sheet4!A:B,2,)</f>
        <v>Matt Black Machine Red Lip</v>
      </c>
      <c r="J17" s="205">
        <v>0</v>
      </c>
    </row>
    <row r="18" s="92" customFormat="1" ht="33" customHeight="1" spans="1:10">
      <c r="A18" s="230"/>
      <c r="B18" s="202" t="s">
        <v>1098</v>
      </c>
      <c r="C18" s="204" t="s">
        <v>1088</v>
      </c>
      <c r="D18" s="203" t="s">
        <v>489</v>
      </c>
      <c r="E18" s="203" t="s">
        <v>208</v>
      </c>
      <c r="F18" s="203">
        <v>42</v>
      </c>
      <c r="G18" s="203">
        <v>66.56</v>
      </c>
      <c r="H18" s="203" t="s">
        <v>1093</v>
      </c>
      <c r="I18" s="203" t="str">
        <f>VLOOKUP(H18,Sheet4!A:B,2,)</f>
        <v>Matt Black Machine Red Lip</v>
      </c>
      <c r="J18" s="205">
        <v>0</v>
      </c>
    </row>
    <row r="19" s="92" customFormat="1" ht="24" customHeight="1" spans="1:10">
      <c r="A19" s="231"/>
      <c r="B19" s="211" t="s">
        <v>1099</v>
      </c>
      <c r="C19" s="211" t="s">
        <v>1088</v>
      </c>
      <c r="D19" s="211" t="s">
        <v>12</v>
      </c>
      <c r="E19" s="211" t="s">
        <v>208</v>
      </c>
      <c r="F19" s="211" t="s">
        <v>553</v>
      </c>
      <c r="G19" s="211">
        <v>66.5</v>
      </c>
      <c r="H19" s="211" t="s">
        <v>21</v>
      </c>
      <c r="I19" s="211" t="str">
        <f>VLOOKUP(H19,Sheet4!A:B,2,)</f>
        <v>Black Machine Face</v>
      </c>
      <c r="J19" s="214">
        <f>4-4+4-4+16+4-4-4-4-4-4+4+8+12-4-4-4-4-4+4-4-4+8-4</f>
        <v>4</v>
      </c>
    </row>
    <row r="20" s="92" customFormat="1" ht="24" customHeight="1" spans="1:10">
      <c r="A20" s="224"/>
      <c r="B20" s="204" t="s">
        <v>1100</v>
      </c>
      <c r="C20" s="204" t="s">
        <v>1088</v>
      </c>
      <c r="D20" s="204" t="s">
        <v>44</v>
      </c>
      <c r="E20" s="204" t="s">
        <v>208</v>
      </c>
      <c r="F20" s="204">
        <v>36</v>
      </c>
      <c r="G20" s="204">
        <v>66.5</v>
      </c>
      <c r="H20" s="204" t="s">
        <v>21</v>
      </c>
      <c r="I20" s="204" t="str">
        <f>VLOOKUP(H20,Sheet4!A:B,2,)</f>
        <v>Black Machine Face</v>
      </c>
      <c r="J20" s="205">
        <f>8-2-2-4+4+10-2-2-2-4-4+6-2+4+2-2-4-2+4-4-2+6-2+4+4-2-2+4+2-2+2-2+2-2-4-4-4+4+4-2+2-4</f>
        <v>4</v>
      </c>
    </row>
    <row r="21" s="92" customFormat="1" ht="24" customHeight="1" spans="1:10">
      <c r="A21" s="224"/>
      <c r="B21" s="204" t="s">
        <v>1100</v>
      </c>
      <c r="C21" s="204" t="s">
        <v>1088</v>
      </c>
      <c r="D21" s="204" t="s">
        <v>489</v>
      </c>
      <c r="E21" s="204" t="s">
        <v>208</v>
      </c>
      <c r="F21" s="204">
        <v>43</v>
      </c>
      <c r="G21" s="204">
        <v>66.5</v>
      </c>
      <c r="H21" s="204" t="s">
        <v>21</v>
      </c>
      <c r="I21" s="204" t="str">
        <f>VLOOKUP(H21,Sheet4!A:B,2,)</f>
        <v>Black Machine Face</v>
      </c>
      <c r="J21" s="205">
        <f>4-2-2+6-2-2-2+2-2+4+2-2-2-2+2-2+4-2-2+4-4+2-2+2-2+2-2+4-2-2</f>
        <v>0</v>
      </c>
    </row>
    <row r="22" s="92" customFormat="1" ht="24" customHeight="1" spans="1:10">
      <c r="A22" s="224"/>
      <c r="B22" s="204" t="s">
        <v>1101</v>
      </c>
      <c r="C22" s="204" t="s">
        <v>1088</v>
      </c>
      <c r="D22" s="204" t="s">
        <v>44</v>
      </c>
      <c r="E22" s="204" t="s">
        <v>208</v>
      </c>
      <c r="F22" s="204">
        <v>36</v>
      </c>
      <c r="G22" s="204">
        <v>66.5</v>
      </c>
      <c r="H22" s="204" t="s">
        <v>87</v>
      </c>
      <c r="I22" s="204" t="str">
        <f>VLOOKUP(H22,Sheet4!A:B,2,)</f>
        <v>Gunmetal Machine Face</v>
      </c>
      <c r="J22" s="205">
        <f>8+4</f>
        <v>12</v>
      </c>
    </row>
    <row r="23" s="92" customFormat="1" ht="24" customHeight="1" spans="1:10">
      <c r="A23" s="224"/>
      <c r="B23" s="204" t="s">
        <v>1101</v>
      </c>
      <c r="C23" s="204" t="s">
        <v>1088</v>
      </c>
      <c r="D23" s="204" t="s">
        <v>489</v>
      </c>
      <c r="E23" s="204" t="s">
        <v>208</v>
      </c>
      <c r="F23" s="204">
        <v>43</v>
      </c>
      <c r="G23" s="204">
        <v>66.5</v>
      </c>
      <c r="H23" s="204" t="s">
        <v>87</v>
      </c>
      <c r="I23" s="204" t="str">
        <f>VLOOKUP(H23,Sheet4!A:B,2,)</f>
        <v>Gunmetal Machine Face</v>
      </c>
      <c r="J23" s="205">
        <v>4</v>
      </c>
    </row>
    <row r="24" s="92" customFormat="1" ht="24" customHeight="1" spans="1:10">
      <c r="A24" s="224"/>
      <c r="B24" s="204" t="s">
        <v>1102</v>
      </c>
      <c r="C24" s="204" t="s">
        <v>1103</v>
      </c>
      <c r="D24" s="204" t="s">
        <v>190</v>
      </c>
      <c r="E24" s="204" t="s">
        <v>208</v>
      </c>
      <c r="F24" s="204">
        <v>30</v>
      </c>
      <c r="G24" s="204">
        <v>66.5</v>
      </c>
      <c r="H24" s="204" t="s">
        <v>21</v>
      </c>
      <c r="I24" s="204" t="str">
        <f>VLOOKUP(H24,Sheet4!A:B,2,)</f>
        <v>Black Machine Face</v>
      </c>
      <c r="J24" s="205">
        <f>2-2+4-2</f>
        <v>2</v>
      </c>
    </row>
    <row r="25" s="92" customFormat="1" ht="24" customHeight="1" spans="1:10">
      <c r="A25" s="226"/>
      <c r="B25" s="232" t="s">
        <v>1102</v>
      </c>
      <c r="C25" s="232" t="s">
        <v>1103</v>
      </c>
      <c r="D25" s="232" t="s">
        <v>19</v>
      </c>
      <c r="E25" s="232" t="s">
        <v>208</v>
      </c>
      <c r="F25" s="232">
        <v>28</v>
      </c>
      <c r="G25" s="232">
        <v>66.5</v>
      </c>
      <c r="H25" s="232" t="s">
        <v>21</v>
      </c>
      <c r="I25" s="232" t="str">
        <f>VLOOKUP(H25,Sheet4!A:B,2,)</f>
        <v>Black Machine Face</v>
      </c>
      <c r="J25" s="227">
        <f>2-2+4-2</f>
        <v>2</v>
      </c>
    </row>
    <row r="26" s="92" customFormat="1" ht="27" customHeight="1" spans="1:10">
      <c r="A26" s="230"/>
      <c r="B26" s="202" t="s">
        <v>1104</v>
      </c>
      <c r="C26" s="204" t="s">
        <v>1088</v>
      </c>
      <c r="D26" s="203" t="s">
        <v>12</v>
      </c>
      <c r="E26" s="203" t="s">
        <v>208</v>
      </c>
      <c r="F26" s="203">
        <v>40</v>
      </c>
      <c r="G26" s="203">
        <v>66.5</v>
      </c>
      <c r="H26" s="203" t="s">
        <v>21</v>
      </c>
      <c r="I26" s="203" t="str">
        <f>VLOOKUP(H26,Sheet4!A:B,2,)</f>
        <v>Black Machine Face</v>
      </c>
      <c r="J26" s="205">
        <f>8-2-2-4+4-2+4-2-4+4+2-2-4+12-4-4-4+4-1</f>
        <v>3</v>
      </c>
    </row>
    <row r="27" s="92" customFormat="1" ht="27" customHeight="1" spans="1:10">
      <c r="A27" s="230"/>
      <c r="B27" s="202" t="s">
        <v>1104</v>
      </c>
      <c r="C27" s="204" t="s">
        <v>1088</v>
      </c>
      <c r="D27" s="203" t="s">
        <v>814</v>
      </c>
      <c r="E27" s="203" t="s">
        <v>208</v>
      </c>
      <c r="F27" s="203">
        <v>45</v>
      </c>
      <c r="G27" s="203">
        <v>66.5</v>
      </c>
      <c r="H27" s="203" t="s">
        <v>21</v>
      </c>
      <c r="I27" s="203" t="str">
        <f>VLOOKUP(H27,Sheet4!A:B,2,)</f>
        <v>Black Machine Face</v>
      </c>
      <c r="J27" s="205">
        <f>2-2+2-2+4-2-2+4-2-2+2-2</f>
        <v>0</v>
      </c>
    </row>
    <row r="28" s="92" customFormat="1" ht="27" customHeight="1" spans="1:10">
      <c r="A28" s="230"/>
      <c r="B28" s="202" t="s">
        <v>1105</v>
      </c>
      <c r="C28" s="204" t="s">
        <v>1088</v>
      </c>
      <c r="D28" s="203" t="s">
        <v>44</v>
      </c>
      <c r="E28" s="203" t="s">
        <v>208</v>
      </c>
      <c r="F28" s="203">
        <v>36</v>
      </c>
      <c r="G28" s="203">
        <v>66.5</v>
      </c>
      <c r="H28" s="203" t="s">
        <v>21</v>
      </c>
      <c r="I28" s="203" t="str">
        <f>VLOOKUP(H28,Sheet4!A:B,2,)</f>
        <v>Black Machine Face</v>
      </c>
      <c r="J28" s="205">
        <f>2-2+2+4+2-2-2+2-2-4+8-4+2-4+4-2+2-4</f>
        <v>2</v>
      </c>
    </row>
    <row r="29" s="92" customFormat="1" ht="27" customHeight="1" spans="1:10">
      <c r="A29" s="226"/>
      <c r="B29" s="233" t="s">
        <v>1105</v>
      </c>
      <c r="C29" s="232" t="s">
        <v>1088</v>
      </c>
      <c r="D29" s="207" t="s">
        <v>489</v>
      </c>
      <c r="E29" s="207" t="s">
        <v>208</v>
      </c>
      <c r="F29" s="207">
        <v>42</v>
      </c>
      <c r="G29" s="207">
        <v>66.5</v>
      </c>
      <c r="H29" s="207" t="s">
        <v>21</v>
      </c>
      <c r="I29" s="207" t="str">
        <f>VLOOKUP(H29,Sheet4!A:B,2,)</f>
        <v>Black Machine Face</v>
      </c>
      <c r="J29" s="227">
        <f>2-2+2+2-2-2+2-2+2-2+2</f>
        <v>2</v>
      </c>
    </row>
    <row r="30" s="5" customFormat="1" ht="30" customHeight="1" spans="1:10">
      <c r="A30" s="234"/>
      <c r="B30" s="202" t="s">
        <v>1106</v>
      </c>
      <c r="C30" s="203" t="s">
        <v>1107</v>
      </c>
      <c r="D30" s="203" t="s">
        <v>12</v>
      </c>
      <c r="E30" s="203" t="s">
        <v>208</v>
      </c>
      <c r="F30" s="203">
        <v>38</v>
      </c>
      <c r="G30" s="203">
        <v>66.5</v>
      </c>
      <c r="H30" s="203" t="s">
        <v>21</v>
      </c>
      <c r="I30" s="203" t="str">
        <f>VLOOKUP(H30,Sheet4!A:B,2,)</f>
        <v>Black Machine Face</v>
      </c>
      <c r="J30" s="205">
        <f>4-4+8+12-4-4-4-4</f>
        <v>4</v>
      </c>
    </row>
    <row r="31" s="5" customFormat="1" ht="30" customHeight="1" spans="1:10">
      <c r="A31" s="234"/>
      <c r="B31" s="202" t="s">
        <v>1108</v>
      </c>
      <c r="C31" s="203" t="s">
        <v>1107</v>
      </c>
      <c r="D31" s="203" t="s">
        <v>23</v>
      </c>
      <c r="E31" s="203" t="s">
        <v>208</v>
      </c>
      <c r="F31" s="203">
        <v>36</v>
      </c>
      <c r="G31" s="203">
        <v>66.5</v>
      </c>
      <c r="H31" s="203" t="s">
        <v>21</v>
      </c>
      <c r="I31" s="203" t="str">
        <f>VLOOKUP(H31,Sheet4!A:B,2,)</f>
        <v>Black Machine Face</v>
      </c>
      <c r="J31" s="205">
        <f>4-2-2+2-2+6-4-2+4-2-2+4</f>
        <v>4</v>
      </c>
    </row>
    <row r="32" s="5" customFormat="1" ht="30" customHeight="1" spans="1:10">
      <c r="A32" s="234"/>
      <c r="B32" s="202" t="s">
        <v>1109</v>
      </c>
      <c r="C32" s="203" t="s">
        <v>1107</v>
      </c>
      <c r="D32" s="203" t="s">
        <v>482</v>
      </c>
      <c r="E32" s="203" t="s">
        <v>208</v>
      </c>
      <c r="F32" s="203">
        <v>43</v>
      </c>
      <c r="G32" s="203">
        <v>66.5</v>
      </c>
      <c r="H32" s="203" t="s">
        <v>21</v>
      </c>
      <c r="I32" s="203" t="str">
        <f>VLOOKUP(H32,Sheet4!A:B,2,)</f>
        <v>Black Machine Face</v>
      </c>
      <c r="J32" s="205">
        <f>2-2+2-2+2-2+2+2-2-2</f>
        <v>0</v>
      </c>
    </row>
    <row r="33" s="5" customFormat="1" ht="30" customHeight="1" spans="1:10">
      <c r="A33" s="234"/>
      <c r="B33" s="202" t="s">
        <v>1110</v>
      </c>
      <c r="C33" s="203" t="s">
        <v>1107</v>
      </c>
      <c r="D33" s="203" t="s">
        <v>23</v>
      </c>
      <c r="E33" s="203" t="s">
        <v>208</v>
      </c>
      <c r="F33" s="203">
        <v>36</v>
      </c>
      <c r="G33" s="203">
        <v>66.5</v>
      </c>
      <c r="H33" s="203" t="s">
        <v>1095</v>
      </c>
      <c r="I33" s="203" t="str">
        <f>VLOOKUP(H33,Sheet4!A:B,2,)</f>
        <v>MATTE Black LIP</v>
      </c>
      <c r="J33" s="205">
        <f>2+4-2-4+8</f>
        <v>8</v>
      </c>
    </row>
    <row r="34" s="5" customFormat="1" ht="30" customHeight="1" spans="1:10">
      <c r="A34" s="234"/>
      <c r="B34" s="202" t="s">
        <v>1111</v>
      </c>
      <c r="C34" s="203" t="s">
        <v>1107</v>
      </c>
      <c r="D34" s="203" t="s">
        <v>482</v>
      </c>
      <c r="E34" s="203" t="s">
        <v>208</v>
      </c>
      <c r="F34" s="203">
        <v>43</v>
      </c>
      <c r="G34" s="203">
        <v>66.5</v>
      </c>
      <c r="H34" s="203" t="s">
        <v>1095</v>
      </c>
      <c r="I34" s="203" t="str">
        <f>VLOOKUP(H34,Sheet4!A:B,2,)</f>
        <v>MATTE Black LIP</v>
      </c>
      <c r="J34" s="205">
        <f>2-2</f>
        <v>0</v>
      </c>
    </row>
    <row r="35" s="5" customFormat="1" ht="34" customHeight="1" spans="1:10">
      <c r="A35" s="234"/>
      <c r="B35" s="202" t="s">
        <v>1112</v>
      </c>
      <c r="C35" s="203" t="s">
        <v>1107</v>
      </c>
      <c r="D35" s="203" t="s">
        <v>29</v>
      </c>
      <c r="E35" s="203" t="s">
        <v>208</v>
      </c>
      <c r="F35" s="203">
        <v>36</v>
      </c>
      <c r="G35" s="203">
        <v>66.5</v>
      </c>
      <c r="H35" s="203" t="s">
        <v>21</v>
      </c>
      <c r="I35" s="203" t="str">
        <f>VLOOKUP(H35,Sheet4!A:B,2,)</f>
        <v>Black Machine Face</v>
      </c>
      <c r="J35" s="205">
        <v>0</v>
      </c>
    </row>
    <row r="36" s="5" customFormat="1" ht="30" customHeight="1" spans="1:10">
      <c r="A36" s="235"/>
      <c r="B36" s="233" t="s">
        <v>1113</v>
      </c>
      <c r="C36" s="207" t="s">
        <v>1107</v>
      </c>
      <c r="D36" s="207" t="s">
        <v>225</v>
      </c>
      <c r="E36" s="207" t="s">
        <v>208</v>
      </c>
      <c r="F36" s="207">
        <v>43</v>
      </c>
      <c r="G36" s="207">
        <v>66.5</v>
      </c>
      <c r="H36" s="207" t="s">
        <v>21</v>
      </c>
      <c r="I36" s="207" t="str">
        <f>VLOOKUP(H36,Sheet4!A:B,2,)</f>
        <v>Black Machine Face</v>
      </c>
      <c r="J36" s="227">
        <f>2-2+2-2+4-2-2</f>
        <v>0</v>
      </c>
    </row>
    <row r="37" s="5" customFormat="1" ht="24" customHeight="1" spans="1:10">
      <c r="A37" s="234"/>
      <c r="B37" s="202" t="s">
        <v>1114</v>
      </c>
      <c r="C37" s="203" t="s">
        <v>1107</v>
      </c>
      <c r="D37" s="203" t="s">
        <v>12</v>
      </c>
      <c r="E37" s="203" t="s">
        <v>208</v>
      </c>
      <c r="F37" s="203">
        <v>38</v>
      </c>
      <c r="G37" s="203">
        <v>66.6</v>
      </c>
      <c r="H37" s="203" t="s">
        <v>21</v>
      </c>
      <c r="I37" s="203" t="str">
        <f>VLOOKUP(H37,Sheet4!A:B,2,)</f>
        <v>Black Machine Face</v>
      </c>
      <c r="J37" s="205">
        <f>12-4-4-4+4-4+4-4+8-4-4+4-4+4+20+8-4-4-4-4+4-4-4-4+8-4-4+4-4-4+12-4-4-4-4+8+8-4-4+4</f>
        <v>12</v>
      </c>
    </row>
    <row r="38" s="5" customFormat="1" ht="24" customHeight="1" spans="1:10">
      <c r="A38" s="234"/>
      <c r="B38" s="202" t="s">
        <v>1115</v>
      </c>
      <c r="C38" s="202" t="s">
        <v>1107</v>
      </c>
      <c r="D38" s="202" t="s">
        <v>23</v>
      </c>
      <c r="E38" s="202" t="s">
        <v>208</v>
      </c>
      <c r="F38" s="202" t="s">
        <v>244</v>
      </c>
      <c r="G38" s="202">
        <v>66.6</v>
      </c>
      <c r="H38" s="202" t="s">
        <v>21</v>
      </c>
      <c r="I38" s="202" t="str">
        <f>VLOOKUP(H38,Sheet4!A:B,2,)</f>
        <v>Black Machine Face</v>
      </c>
      <c r="J38" s="228">
        <f>34-2-2-2-2-2</f>
        <v>24</v>
      </c>
    </row>
    <row r="39" s="5" customFormat="1" ht="24" customHeight="1" spans="1:10">
      <c r="A39" s="234"/>
      <c r="B39" s="202" t="s">
        <v>1116</v>
      </c>
      <c r="C39" s="202" t="s">
        <v>1107</v>
      </c>
      <c r="D39" s="202" t="s">
        <v>482</v>
      </c>
      <c r="E39" s="202" t="s">
        <v>208</v>
      </c>
      <c r="F39" s="202">
        <v>43</v>
      </c>
      <c r="G39" s="202">
        <v>66.6</v>
      </c>
      <c r="H39" s="202" t="s">
        <v>21</v>
      </c>
      <c r="I39" s="202" t="str">
        <f>VLOOKUP(H39,Sheet4!A:B,2,)</f>
        <v>Black Machine Face</v>
      </c>
      <c r="J39" s="228">
        <f>12-2-2-2-2-2</f>
        <v>2</v>
      </c>
    </row>
    <row r="40" s="5" customFormat="1" ht="24" customHeight="1" spans="1:10">
      <c r="A40" s="234"/>
      <c r="B40" s="202" t="s">
        <v>1117</v>
      </c>
      <c r="C40" s="203" t="s">
        <v>1107</v>
      </c>
      <c r="D40" s="203" t="s">
        <v>29</v>
      </c>
      <c r="E40" s="203" t="s">
        <v>208</v>
      </c>
      <c r="F40" s="203">
        <v>36</v>
      </c>
      <c r="G40" s="203">
        <v>66.6</v>
      </c>
      <c r="H40" s="203" t="s">
        <v>21</v>
      </c>
      <c r="I40" s="203" t="str">
        <f>VLOOKUP(H40,Sheet4!A:B,2,)</f>
        <v>Black Machine Face</v>
      </c>
      <c r="J40" s="205">
        <f>6-2-2-2+6</f>
        <v>6</v>
      </c>
    </row>
    <row r="41" s="5" customFormat="1" ht="24" customHeight="1" spans="1:10">
      <c r="A41" s="234"/>
      <c r="B41" s="202" t="s">
        <v>1118</v>
      </c>
      <c r="C41" s="203" t="s">
        <v>1107</v>
      </c>
      <c r="D41" s="203" t="s">
        <v>225</v>
      </c>
      <c r="E41" s="203" t="s">
        <v>208</v>
      </c>
      <c r="F41" s="203">
        <v>43</v>
      </c>
      <c r="G41" s="203">
        <v>66.6</v>
      </c>
      <c r="H41" s="203" t="s">
        <v>21</v>
      </c>
      <c r="I41" s="203" t="str">
        <f>VLOOKUP(H41,Sheet4!A:B,2,)</f>
        <v>Black Machine Face</v>
      </c>
      <c r="J41" s="205">
        <f>6-2-2-2+6</f>
        <v>6</v>
      </c>
    </row>
    <row r="42" s="92" customFormat="1" ht="24" customHeight="1" spans="1:10">
      <c r="A42" s="209"/>
      <c r="B42" s="210" t="s">
        <v>1119</v>
      </c>
      <c r="C42" s="212" t="s">
        <v>1107</v>
      </c>
      <c r="D42" s="212" t="s">
        <v>12</v>
      </c>
      <c r="E42" s="212" t="s">
        <v>208</v>
      </c>
      <c r="F42" s="212">
        <v>38</v>
      </c>
      <c r="G42" s="212">
        <v>66.5</v>
      </c>
      <c r="H42" s="212" t="s">
        <v>21</v>
      </c>
      <c r="I42" s="212" t="str">
        <f>VLOOKUP(H42,Sheet4!A:B,2,)</f>
        <v>Black Machine Face</v>
      </c>
      <c r="J42" s="214">
        <f>4-4+16+16-4+4-4-4-4-4-4+8-4-4-4-4-4+4+8-4+12-4+16-4-4+8+12+4-4-4-4-4-4+8-4-4-4-8-4-4+8-4-4-4+4-4+12-4-4+4-4-4-4+8-4-4+4+12-4-4-4-4+12-4</f>
        <v>8</v>
      </c>
    </row>
    <row r="43" s="6" customFormat="1" ht="24" customHeight="1" spans="1:10">
      <c r="A43" s="58"/>
      <c r="B43" s="202" t="s">
        <v>1120</v>
      </c>
      <c r="C43" s="203" t="s">
        <v>1107</v>
      </c>
      <c r="D43" s="203" t="s">
        <v>44</v>
      </c>
      <c r="E43" s="203" t="s">
        <v>208</v>
      </c>
      <c r="F43" s="203">
        <v>36</v>
      </c>
      <c r="G43" s="203">
        <v>66.5</v>
      </c>
      <c r="H43" s="203" t="s">
        <v>21</v>
      </c>
      <c r="I43" s="203" t="str">
        <f>VLOOKUP(H43,Sheet4!A:B,2,)</f>
        <v>Black Machine Face</v>
      </c>
      <c r="J43" s="205">
        <f>6-2+10-2-2-1-2-2-2+2+1-4-2+2-2</f>
        <v>0</v>
      </c>
    </row>
    <row r="44" s="6" customFormat="1" ht="24" customHeight="1" spans="1:10">
      <c r="A44" s="58"/>
      <c r="B44" s="202" t="s">
        <v>1120</v>
      </c>
      <c r="C44" s="203" t="s">
        <v>1107</v>
      </c>
      <c r="D44" s="203" t="s">
        <v>489</v>
      </c>
      <c r="E44" s="203" t="s">
        <v>208</v>
      </c>
      <c r="F44" s="203">
        <v>43</v>
      </c>
      <c r="G44" s="203">
        <v>66.5</v>
      </c>
      <c r="H44" s="203" t="s">
        <v>21</v>
      </c>
      <c r="I44" s="203" t="str">
        <f>VLOOKUP(H44,Sheet4!A:B,2,)</f>
        <v>Black Machine Face</v>
      </c>
      <c r="J44" s="205">
        <f>2-2+10-2-2-2-2-2+2-2</f>
        <v>0</v>
      </c>
    </row>
    <row r="45" s="6" customFormat="1" ht="24" customHeight="1" spans="1:10">
      <c r="A45" s="58"/>
      <c r="B45" s="202" t="s">
        <v>1121</v>
      </c>
      <c r="C45" s="203" t="s">
        <v>1107</v>
      </c>
      <c r="D45" s="203" t="s">
        <v>23</v>
      </c>
      <c r="E45" s="203" t="s">
        <v>208</v>
      </c>
      <c r="F45" s="203">
        <v>36</v>
      </c>
      <c r="G45" s="203">
        <v>66.5</v>
      </c>
      <c r="H45" s="203" t="s">
        <v>1122</v>
      </c>
      <c r="I45" s="203" t="str">
        <f>VLOOKUP(H45,Sheet4!A:B,2,)</f>
        <v>Gloss Black LIP </v>
      </c>
      <c r="J45" s="205">
        <f>6-2+2-2+2-2-2-2+4+2</f>
        <v>6</v>
      </c>
    </row>
    <row r="46" s="6" customFormat="1" ht="24" customHeight="1" spans="1:10">
      <c r="A46" s="58"/>
      <c r="B46" s="202" t="s">
        <v>1121</v>
      </c>
      <c r="C46" s="203" t="s">
        <v>1107</v>
      </c>
      <c r="D46" s="203" t="s">
        <v>482</v>
      </c>
      <c r="E46" s="203" t="s">
        <v>208</v>
      </c>
      <c r="F46" s="203">
        <v>43</v>
      </c>
      <c r="G46" s="203">
        <v>66.5</v>
      </c>
      <c r="H46" s="203" t="s">
        <v>1122</v>
      </c>
      <c r="I46" s="203" t="str">
        <f>VLOOKUP(H46,Sheet4!A:B,2,)</f>
        <v>Gloss Black LIP </v>
      </c>
      <c r="J46" s="205">
        <f>6-2+2-2+2-2-2-2+2+4</f>
        <v>6</v>
      </c>
    </row>
    <row r="47" s="6" customFormat="1" ht="24" customHeight="1" spans="1:10">
      <c r="A47" s="58"/>
      <c r="B47" s="202" t="s">
        <v>1123</v>
      </c>
      <c r="C47" s="203" t="s">
        <v>1107</v>
      </c>
      <c r="D47" s="203" t="s">
        <v>23</v>
      </c>
      <c r="E47" s="203" t="s">
        <v>208</v>
      </c>
      <c r="F47" s="203">
        <v>36</v>
      </c>
      <c r="G47" s="203">
        <v>66.5</v>
      </c>
      <c r="H47" s="203" t="s">
        <v>21</v>
      </c>
      <c r="I47" s="203" t="str">
        <f>VLOOKUP(H47,Sheet4!A:B,2,)</f>
        <v>Black Machine Face</v>
      </c>
      <c r="J47" s="205">
        <f>32-1+2-2-2-2-2-2-2-2+2-2+1-2-2-2-2-2-2-2-2-4+6-2+4-2-2-2-2+2-2+10-2+2-2+2-2-2+10-2+4+2-2-2-2</f>
        <v>14</v>
      </c>
    </row>
    <row r="48" s="6" customFormat="1" ht="24" customHeight="1" spans="1:10">
      <c r="A48" s="58"/>
      <c r="B48" s="202" t="s">
        <v>1123</v>
      </c>
      <c r="C48" s="203" t="s">
        <v>1107</v>
      </c>
      <c r="D48" s="203" t="s">
        <v>482</v>
      </c>
      <c r="E48" s="203" t="s">
        <v>208</v>
      </c>
      <c r="F48" s="203">
        <v>43</v>
      </c>
      <c r="G48" s="203">
        <v>66.5</v>
      </c>
      <c r="H48" s="203" t="s">
        <v>21</v>
      </c>
      <c r="I48" s="203" t="str">
        <f>VLOOKUP(H48,Sheet4!A:B,2,)</f>
        <v>Black Machine Face</v>
      </c>
      <c r="J48" s="205">
        <f>22+16-2-2-2-2+2+2-2-2-2-2-2+1-1-2-2+2-2-2-2-2-2-2-2-2-2+6-2+4-2-2-2-2+2-2+10-2+2-2+2-2-2+10-2+2-2-2-2</f>
        <v>14</v>
      </c>
    </row>
    <row r="49" s="6" customFormat="1" ht="24" customHeight="1" spans="1:10">
      <c r="A49" s="58"/>
      <c r="B49" s="202" t="s">
        <v>1124</v>
      </c>
      <c r="C49" s="203" t="s">
        <v>1107</v>
      </c>
      <c r="D49" s="203" t="s">
        <v>29</v>
      </c>
      <c r="E49" s="203" t="s">
        <v>208</v>
      </c>
      <c r="F49" s="203">
        <v>36</v>
      </c>
      <c r="G49" s="203">
        <v>66.5</v>
      </c>
      <c r="H49" s="203" t="s">
        <v>21</v>
      </c>
      <c r="I49" s="203" t="str">
        <f>VLOOKUP(H49,Sheet4!A:B,2,)</f>
        <v>Black Machine Face</v>
      </c>
      <c r="J49" s="205">
        <f>8-2-4+4-2+1-1+8-2-2-2-2-2-2+4+4+2-4-2</f>
        <v>4</v>
      </c>
    </row>
    <row r="50" s="6" customFormat="1" ht="24" customHeight="1" spans="1:10">
      <c r="A50" s="59"/>
      <c r="B50" s="233" t="s">
        <v>1124</v>
      </c>
      <c r="C50" s="207" t="s">
        <v>1107</v>
      </c>
      <c r="D50" s="207" t="s">
        <v>225</v>
      </c>
      <c r="E50" s="207" t="s">
        <v>208</v>
      </c>
      <c r="F50" s="207">
        <v>43</v>
      </c>
      <c r="G50" s="207">
        <v>66.5</v>
      </c>
      <c r="H50" s="207" t="s">
        <v>21</v>
      </c>
      <c r="I50" s="207" t="str">
        <f>VLOOKUP(H50,Sheet4!A:B,2,)</f>
        <v>Black Machine Face</v>
      </c>
      <c r="J50" s="227">
        <f>8-2-2+8-4-2-2-2-2+4-2-2+4+4+2-2</f>
        <v>8</v>
      </c>
    </row>
    <row r="51" s="92" customFormat="1" ht="25" customHeight="1" spans="1:10">
      <c r="A51" s="224"/>
      <c r="B51" s="225" t="s">
        <v>1125</v>
      </c>
      <c r="C51" s="203" t="s">
        <v>1107</v>
      </c>
      <c r="D51" s="203" t="s">
        <v>12</v>
      </c>
      <c r="E51" s="203" t="s">
        <v>208</v>
      </c>
      <c r="F51" s="203" t="s">
        <v>370</v>
      </c>
      <c r="G51" s="203">
        <v>66.5</v>
      </c>
      <c r="H51" s="203" t="s">
        <v>21</v>
      </c>
      <c r="I51" s="203" t="str">
        <f>VLOOKUP(H51,Sheet4!A:B,2,)</f>
        <v>Black Machine Face</v>
      </c>
      <c r="J51" s="205">
        <f>8+8-2-2+4-2-2-2-2+4+2-2-4+4-1-4+4+1</f>
        <v>12</v>
      </c>
    </row>
    <row r="52" s="92" customFormat="1" ht="25" customHeight="1" spans="1:10">
      <c r="A52" s="224"/>
      <c r="B52" s="225" t="s">
        <v>1126</v>
      </c>
      <c r="C52" s="203" t="s">
        <v>1107</v>
      </c>
      <c r="D52" s="203" t="s">
        <v>814</v>
      </c>
      <c r="E52" s="203" t="s">
        <v>208</v>
      </c>
      <c r="F52" s="203">
        <v>45</v>
      </c>
      <c r="G52" s="203">
        <v>66.5</v>
      </c>
      <c r="H52" s="203" t="s">
        <v>21</v>
      </c>
      <c r="I52" s="203" t="str">
        <f>VLOOKUP(H52,Sheet4!A:B,2,)</f>
        <v>Black Machine Face</v>
      </c>
      <c r="J52" s="205">
        <f>4-2-2+4-2-2+4+4-2-2-4+2-2</f>
        <v>0</v>
      </c>
    </row>
    <row r="53" s="92" customFormat="1" ht="25" customHeight="1" spans="1:10">
      <c r="A53" s="224"/>
      <c r="B53" s="225" t="s">
        <v>1127</v>
      </c>
      <c r="C53" s="203" t="s">
        <v>1107</v>
      </c>
      <c r="D53" s="203" t="s">
        <v>44</v>
      </c>
      <c r="E53" s="203" t="s">
        <v>208</v>
      </c>
      <c r="F53" s="203">
        <v>36</v>
      </c>
      <c r="G53" s="203">
        <v>66.5</v>
      </c>
      <c r="H53" s="203" t="s">
        <v>21</v>
      </c>
      <c r="I53" s="203" t="str">
        <f>VLOOKUP(H53,Sheet4!A:B,2,)</f>
        <v>Black Machine Face</v>
      </c>
      <c r="J53" s="205">
        <f>8+4-2-4-4-2+4+2-2+2-2+2-4+8+2-2-2-4+4</f>
        <v>8</v>
      </c>
    </row>
    <row r="54" s="92" customFormat="1" ht="25" customHeight="1" spans="1:10">
      <c r="A54" s="224"/>
      <c r="B54" s="225" t="s">
        <v>1127</v>
      </c>
      <c r="C54" s="203" t="s">
        <v>1107</v>
      </c>
      <c r="D54" s="203" t="s">
        <v>489</v>
      </c>
      <c r="E54" s="203" t="s">
        <v>208</v>
      </c>
      <c r="F54" s="203">
        <v>43</v>
      </c>
      <c r="G54" s="203">
        <v>66.5</v>
      </c>
      <c r="H54" s="203" t="s">
        <v>21</v>
      </c>
      <c r="I54" s="203" t="str">
        <f>VLOOKUP(H54,Sheet4!A:B,2,)</f>
        <v>Black Machine Face</v>
      </c>
      <c r="J54" s="205">
        <f>4-2-2+2-2+2-2+2+2-2-2+4</f>
        <v>4</v>
      </c>
    </row>
    <row r="55" s="92" customFormat="1" ht="25" customHeight="1" spans="1:10">
      <c r="A55" s="224"/>
      <c r="B55" s="225" t="s">
        <v>1128</v>
      </c>
      <c r="C55" s="203" t="s">
        <v>1107</v>
      </c>
      <c r="D55" s="203" t="s">
        <v>44</v>
      </c>
      <c r="E55" s="203" t="s">
        <v>208</v>
      </c>
      <c r="F55" s="203">
        <v>36</v>
      </c>
      <c r="G55" s="203">
        <v>66.5</v>
      </c>
      <c r="H55" s="203" t="s">
        <v>87</v>
      </c>
      <c r="I55" s="203" t="str">
        <f>VLOOKUP(H55,Sheet4!A:B,2,)</f>
        <v>Gunmetal Machine Face</v>
      </c>
      <c r="J55" s="205">
        <f>4-2-2+4+8-2+2-4-4</f>
        <v>4</v>
      </c>
    </row>
    <row r="56" s="92" customFormat="1" ht="25" customHeight="1" spans="1:10">
      <c r="A56" s="224"/>
      <c r="B56" s="225" t="s">
        <v>1128</v>
      </c>
      <c r="C56" s="203" t="s">
        <v>1107</v>
      </c>
      <c r="D56" s="203" t="s">
        <v>489</v>
      </c>
      <c r="E56" s="203" t="s">
        <v>208</v>
      </c>
      <c r="F56" s="203">
        <v>42</v>
      </c>
      <c r="G56" s="203">
        <v>66.5</v>
      </c>
      <c r="H56" s="203" t="s">
        <v>87</v>
      </c>
      <c r="I56" s="203" t="str">
        <f>VLOOKUP(H56,Sheet4!A:B,2,)</f>
        <v>Gunmetal Machine Face</v>
      </c>
      <c r="J56" s="205">
        <f>4-2+2</f>
        <v>4</v>
      </c>
    </row>
    <row r="57" s="92" customFormat="1" ht="25" customHeight="1" spans="1:10">
      <c r="A57" s="224"/>
      <c r="B57" s="225" t="s">
        <v>1129</v>
      </c>
      <c r="C57" s="203" t="s">
        <v>1107</v>
      </c>
      <c r="D57" s="203" t="s">
        <v>29</v>
      </c>
      <c r="E57" s="203" t="s">
        <v>208</v>
      </c>
      <c r="F57" s="203">
        <v>36</v>
      </c>
      <c r="G57" s="203">
        <v>66.5</v>
      </c>
      <c r="H57" s="203" t="s">
        <v>87</v>
      </c>
      <c r="I57" s="203" t="str">
        <f>VLOOKUP(H57,Sheet4!A:B,2,)</f>
        <v>Gunmetal Machine Face</v>
      </c>
      <c r="J57" s="205">
        <f>4-4</f>
        <v>0</v>
      </c>
    </row>
    <row r="58" s="92" customFormat="1" ht="25" customHeight="1" spans="1:10">
      <c r="A58" s="224"/>
      <c r="B58" s="225" t="s">
        <v>1130</v>
      </c>
      <c r="C58" s="203" t="s">
        <v>1103</v>
      </c>
      <c r="D58" s="203" t="s">
        <v>190</v>
      </c>
      <c r="E58" s="203" t="s">
        <v>208</v>
      </c>
      <c r="F58" s="203">
        <v>30</v>
      </c>
      <c r="G58" s="203">
        <v>66.5</v>
      </c>
      <c r="H58" s="203" t="s">
        <v>21</v>
      </c>
      <c r="I58" s="203" t="str">
        <f>VLOOKUP(H58,Sheet4!A:B,2,)</f>
        <v>Black Machine Face</v>
      </c>
      <c r="J58" s="205">
        <f>4-4+2-2+2+2</f>
        <v>4</v>
      </c>
    </row>
    <row r="59" s="92" customFormat="1" ht="25" customHeight="1" spans="1:10">
      <c r="A59" s="226"/>
      <c r="B59" s="217" t="s">
        <v>1131</v>
      </c>
      <c r="C59" s="207" t="s">
        <v>1103</v>
      </c>
      <c r="D59" s="207" t="s">
        <v>19</v>
      </c>
      <c r="E59" s="207" t="s">
        <v>208</v>
      </c>
      <c r="F59" s="207">
        <v>28</v>
      </c>
      <c r="G59" s="207">
        <v>66.5</v>
      </c>
      <c r="H59" s="207" t="s">
        <v>21</v>
      </c>
      <c r="I59" s="207" t="str">
        <f>VLOOKUP(H59,Sheet4!A:B,2,)</f>
        <v>Black Machine Face</v>
      </c>
      <c r="J59" s="227">
        <f>2-2+2+2</f>
        <v>4</v>
      </c>
    </row>
    <row r="60" s="92" customFormat="1" ht="24" customHeight="1" spans="1:10">
      <c r="A60" s="224"/>
      <c r="B60" s="225" t="s">
        <v>1132</v>
      </c>
      <c r="C60" s="203" t="s">
        <v>1107</v>
      </c>
      <c r="D60" s="203" t="s">
        <v>12</v>
      </c>
      <c r="E60" s="203" t="s">
        <v>208</v>
      </c>
      <c r="F60" s="203">
        <v>38</v>
      </c>
      <c r="G60" s="203">
        <v>66.5</v>
      </c>
      <c r="H60" s="203" t="s">
        <v>21</v>
      </c>
      <c r="I60" s="203" t="str">
        <f>VLOOKUP(H60,Sheet4!A:B,2,)</f>
        <v>Black Machine Face</v>
      </c>
      <c r="J60" s="205">
        <f>4+4+8-4+12-4-4-4-4-4+8-4+8-4-4+4-4-4-4+8+8-4-4-4-4+20-4+16-4-4-4-4-4</f>
        <v>12</v>
      </c>
    </row>
    <row r="61" s="92" customFormat="1" ht="24" customHeight="1" spans="1:10">
      <c r="A61" s="224"/>
      <c r="B61" s="225" t="s">
        <v>1133</v>
      </c>
      <c r="C61" s="203" t="s">
        <v>1107</v>
      </c>
      <c r="D61" s="203" t="s">
        <v>44</v>
      </c>
      <c r="E61" s="203" t="s">
        <v>208</v>
      </c>
      <c r="F61" s="203">
        <v>36</v>
      </c>
      <c r="G61" s="203">
        <v>66.5</v>
      </c>
      <c r="H61" s="203" t="s">
        <v>21</v>
      </c>
      <c r="I61" s="203" t="str">
        <f>VLOOKUP(H61,Sheet4!A:B,2,)</f>
        <v>Black Machine Face</v>
      </c>
      <c r="J61" s="205">
        <f>2-2+8-2-4+12-2-2-2-2-2-2-2+4-2-2+6-2-2+4-2-2-2+2-2+4-2-2</f>
        <v>0</v>
      </c>
    </row>
    <row r="62" s="92" customFormat="1" ht="24" customHeight="1" spans="1:10">
      <c r="A62" s="224"/>
      <c r="B62" s="225" t="s">
        <v>1133</v>
      </c>
      <c r="C62" s="203" t="s">
        <v>1107</v>
      </c>
      <c r="D62" s="203" t="s">
        <v>489</v>
      </c>
      <c r="E62" s="203" t="s">
        <v>208</v>
      </c>
      <c r="F62" s="203">
        <v>43</v>
      </c>
      <c r="G62" s="203">
        <v>66.5</v>
      </c>
      <c r="H62" s="203" t="s">
        <v>21</v>
      </c>
      <c r="I62" s="203" t="str">
        <f>VLOOKUP(H62,Sheet4!A:B,2,)</f>
        <v>Black Machine Face</v>
      </c>
      <c r="J62" s="205">
        <f>2-2+4-2-2+6-2-2+4-2-2-2+6-2-1+2-2-2</f>
        <v>1</v>
      </c>
    </row>
    <row r="63" s="92" customFormat="1" ht="24" customHeight="1" spans="1:10">
      <c r="A63" s="224"/>
      <c r="B63" s="225" t="s">
        <v>1134</v>
      </c>
      <c r="C63" s="203" t="s">
        <v>1107</v>
      </c>
      <c r="D63" s="203" t="s">
        <v>23</v>
      </c>
      <c r="E63" s="203" t="s">
        <v>208</v>
      </c>
      <c r="F63" s="203">
        <v>36</v>
      </c>
      <c r="G63" s="203">
        <v>66.5</v>
      </c>
      <c r="H63" s="203" t="s">
        <v>1135</v>
      </c>
      <c r="I63" s="203" t="str">
        <f>VLOOKUP(H63,Sheet4!A:B,2,)</f>
        <v>Gloss Black LIP </v>
      </c>
      <c r="J63" s="205">
        <f>8-2-2-2-2+10-4-2-2-2+8-2-2</f>
        <v>4</v>
      </c>
    </row>
    <row r="64" s="92" customFormat="1" ht="24" customHeight="1" spans="1:10">
      <c r="A64" s="224"/>
      <c r="B64" s="225" t="s">
        <v>1134</v>
      </c>
      <c r="C64" s="203" t="s">
        <v>1107</v>
      </c>
      <c r="D64" s="203" t="s">
        <v>482</v>
      </c>
      <c r="E64" s="203" t="s">
        <v>208</v>
      </c>
      <c r="F64" s="203">
        <v>43</v>
      </c>
      <c r="G64" s="203">
        <v>66.5</v>
      </c>
      <c r="H64" s="203" t="s">
        <v>1135</v>
      </c>
      <c r="I64" s="203" t="str">
        <f>VLOOKUP(H64,Sheet4!A:B,2,)</f>
        <v>Gloss Black LIP </v>
      </c>
      <c r="J64" s="205">
        <f>8-2-2-2-2+10-2-2-2-2-2</f>
        <v>0</v>
      </c>
    </row>
    <row r="65" s="92" customFormat="1" ht="24" customHeight="1" spans="1:10">
      <c r="A65" s="224"/>
      <c r="B65" s="225" t="s">
        <v>1136</v>
      </c>
      <c r="C65" s="203" t="s">
        <v>1107</v>
      </c>
      <c r="D65" s="203" t="s">
        <v>23</v>
      </c>
      <c r="E65" s="203" t="s">
        <v>208</v>
      </c>
      <c r="F65" s="202" t="s">
        <v>244</v>
      </c>
      <c r="G65" s="203">
        <v>66.5</v>
      </c>
      <c r="H65" s="203" t="s">
        <v>21</v>
      </c>
      <c r="I65" s="203" t="str">
        <f>VLOOKUP(H65,Sheet4!A:B,2,)</f>
        <v>Black Machine Face</v>
      </c>
      <c r="J65" s="205">
        <f>2+4+16-2-2-1-2-2-2+20-2</f>
        <v>29</v>
      </c>
    </row>
    <row r="66" s="92" customFormat="1" ht="24" customHeight="1" spans="1:10">
      <c r="A66" s="224"/>
      <c r="B66" s="225" t="s">
        <v>1136</v>
      </c>
      <c r="C66" s="203" t="s">
        <v>1107</v>
      </c>
      <c r="D66" s="203" t="s">
        <v>482</v>
      </c>
      <c r="E66" s="203" t="s">
        <v>208</v>
      </c>
      <c r="F66" s="203">
        <v>43</v>
      </c>
      <c r="G66" s="203">
        <v>66.5</v>
      </c>
      <c r="H66" s="203" t="s">
        <v>21</v>
      </c>
      <c r="I66" s="203" t="str">
        <f>VLOOKUP(H66,Sheet4!A:B,2,)</f>
        <v>Black Machine Face</v>
      </c>
      <c r="J66" s="205">
        <f>4+6+10-2-2-2-2-2+20-2</f>
        <v>28</v>
      </c>
    </row>
    <row r="67" s="92" customFormat="1" ht="24" customHeight="1" spans="1:10">
      <c r="A67" s="224"/>
      <c r="B67" s="225" t="s">
        <v>1137</v>
      </c>
      <c r="C67" s="203" t="s">
        <v>1107</v>
      </c>
      <c r="D67" s="203" t="s">
        <v>29</v>
      </c>
      <c r="E67" s="203" t="s">
        <v>208</v>
      </c>
      <c r="F67" s="203">
        <v>35</v>
      </c>
      <c r="G67" s="203">
        <v>66.5</v>
      </c>
      <c r="H67" s="203" t="s">
        <v>21</v>
      </c>
      <c r="I67" s="203" t="str">
        <f>VLOOKUP(H67,Sheet4!A:B,2,)</f>
        <v>Black Machine Face</v>
      </c>
      <c r="J67" s="205">
        <f>4-2-2+2-2+2-2+2-2</f>
        <v>0</v>
      </c>
    </row>
    <row r="68" s="92" customFormat="1" ht="24" customHeight="1" spans="1:10">
      <c r="A68" s="224"/>
      <c r="B68" s="225" t="s">
        <v>1137</v>
      </c>
      <c r="C68" s="203" t="s">
        <v>1107</v>
      </c>
      <c r="D68" s="203" t="s">
        <v>225</v>
      </c>
      <c r="E68" s="203" t="s">
        <v>208</v>
      </c>
      <c r="F68" s="203">
        <v>43</v>
      </c>
      <c r="G68" s="203">
        <v>66.5</v>
      </c>
      <c r="H68" s="203" t="s">
        <v>21</v>
      </c>
      <c r="I68" s="203" t="str">
        <f>VLOOKUP(H68,Sheet4!A:B,2,)</f>
        <v>Black Machine Face</v>
      </c>
      <c r="J68" s="205">
        <f>4-2-1+1-2+2+1-1-2+2-2+2-2</f>
        <v>0</v>
      </c>
    </row>
    <row r="69" s="92" customFormat="1" ht="24" customHeight="1" spans="1:10">
      <c r="A69" s="224"/>
      <c r="B69" s="225" t="s">
        <v>1138</v>
      </c>
      <c r="C69" s="203" t="s">
        <v>1107</v>
      </c>
      <c r="D69" s="203" t="s">
        <v>29</v>
      </c>
      <c r="E69" s="203" t="s">
        <v>208</v>
      </c>
      <c r="F69" s="203">
        <v>36</v>
      </c>
      <c r="G69" s="203">
        <v>66.5</v>
      </c>
      <c r="H69" s="203" t="s">
        <v>1122</v>
      </c>
      <c r="I69" s="203" t="str">
        <f>VLOOKUP(H69,Sheet4!A:B,2,)</f>
        <v>Gloss Black LIP </v>
      </c>
      <c r="J69" s="205">
        <f>6-4</f>
        <v>2</v>
      </c>
    </row>
    <row r="70" s="92" customFormat="1" ht="24" customHeight="1" spans="1:10">
      <c r="A70" s="226"/>
      <c r="B70" s="217" t="s">
        <v>1138</v>
      </c>
      <c r="C70" s="207" t="s">
        <v>1107</v>
      </c>
      <c r="D70" s="207" t="s">
        <v>225</v>
      </c>
      <c r="E70" s="207" t="s">
        <v>208</v>
      </c>
      <c r="F70" s="207">
        <v>43</v>
      </c>
      <c r="G70" s="207">
        <v>66.5</v>
      </c>
      <c r="H70" s="207" t="s">
        <v>1122</v>
      </c>
      <c r="I70" s="207" t="str">
        <f>VLOOKUP(H70,Sheet4!A:B,2,)</f>
        <v>Gloss Black LIP </v>
      </c>
      <c r="J70" s="227">
        <f>6-4</f>
        <v>2</v>
      </c>
    </row>
    <row r="71" s="11" customFormat="1" ht="38" customHeight="1" spans="1:10">
      <c r="A71" s="224"/>
      <c r="B71" s="204" t="s">
        <v>1139</v>
      </c>
      <c r="C71" s="203" t="s">
        <v>1107</v>
      </c>
      <c r="D71" s="203" t="s">
        <v>12</v>
      </c>
      <c r="E71" s="203" t="s">
        <v>208</v>
      </c>
      <c r="F71" s="203">
        <v>40</v>
      </c>
      <c r="G71" s="203">
        <v>66.5</v>
      </c>
      <c r="H71" s="203" t="s">
        <v>87</v>
      </c>
      <c r="I71" s="203" t="str">
        <f>VLOOKUP(H71,Sheet4!A:B,2,)</f>
        <v>Gunmetal Machine Face</v>
      </c>
      <c r="J71" s="205">
        <f>32-8+4-4-4-4-4-4-4-4+16-4-4+4+4-8-4+12-4-4+8-4-4-4-4+12+8-4-4-4-4-4+12+8-4-4+4-4-4-4-4+16-4-4-4-4+20-4-4-4-4+19-4-4-4-4-4-1+8-4+8+4-4-4-4-4+20-4-4-1+1-4</f>
        <v>10</v>
      </c>
    </row>
    <row r="72" s="11" customFormat="1" ht="38" customHeight="1" spans="1:10">
      <c r="A72" s="224"/>
      <c r="B72" s="204" t="s">
        <v>1140</v>
      </c>
      <c r="C72" s="203" t="s">
        <v>1107</v>
      </c>
      <c r="D72" s="203" t="s">
        <v>44</v>
      </c>
      <c r="E72" s="203" t="s">
        <v>208</v>
      </c>
      <c r="F72" s="203">
        <v>36</v>
      </c>
      <c r="G72" s="203">
        <v>66.5</v>
      </c>
      <c r="H72" s="203" t="s">
        <v>87</v>
      </c>
      <c r="I72" s="203" t="str">
        <f>VLOOKUP(H72,Sheet4!A:B,2,)</f>
        <v>Gunmetal Machine Face</v>
      </c>
      <c r="J72" s="205">
        <f>2+2-2-2+8-2-2+2-2-4+4-2-2+2+6-2-2-2-2+4-2+2-4+6+4-2-2-1</f>
        <v>5</v>
      </c>
    </row>
    <row r="73" s="11" customFormat="1" ht="38" customHeight="1" spans="1:10">
      <c r="A73" s="226"/>
      <c r="B73" s="232" t="s">
        <v>1140</v>
      </c>
      <c r="C73" s="207" t="s">
        <v>1107</v>
      </c>
      <c r="D73" s="207" t="s">
        <v>489</v>
      </c>
      <c r="E73" s="207" t="s">
        <v>208</v>
      </c>
      <c r="F73" s="207">
        <v>42</v>
      </c>
      <c r="G73" s="207">
        <v>66.5</v>
      </c>
      <c r="H73" s="207" t="s">
        <v>87</v>
      </c>
      <c r="I73" s="207" t="str">
        <f>VLOOKUP(H73,Sheet4!A:B,2,)</f>
        <v>Gunmetal Machine Face</v>
      </c>
      <c r="J73" s="227">
        <f>2+2-2-2+4-2-2+2-2+4-2-2+2+6-2-2-2-2+4-2+2+6-2-2-1</f>
        <v>5</v>
      </c>
    </row>
    <row r="74" s="92" customFormat="1" ht="28" customHeight="1" spans="1:10">
      <c r="A74" s="224"/>
      <c r="B74" s="202" t="s">
        <v>1141</v>
      </c>
      <c r="C74" s="203" t="s">
        <v>1107</v>
      </c>
      <c r="D74" s="203" t="s">
        <v>12</v>
      </c>
      <c r="E74" s="203" t="s">
        <v>208</v>
      </c>
      <c r="F74" s="203">
        <v>38</v>
      </c>
      <c r="G74" s="203">
        <v>66.5</v>
      </c>
      <c r="H74" s="203" t="s">
        <v>87</v>
      </c>
      <c r="I74" s="203" t="str">
        <f>VLOOKUP(H74,Sheet4!A:B,2,)</f>
        <v>Gunmetal Machine Face</v>
      </c>
      <c r="J74" s="205">
        <v>0</v>
      </c>
    </row>
    <row r="75" s="92" customFormat="1" ht="28" customHeight="1" spans="1:10">
      <c r="A75" s="224"/>
      <c r="B75" s="202" t="s">
        <v>1142</v>
      </c>
      <c r="C75" s="203" t="s">
        <v>1107</v>
      </c>
      <c r="D75" s="203" t="s">
        <v>12</v>
      </c>
      <c r="E75" s="203" t="s">
        <v>208</v>
      </c>
      <c r="F75" s="203">
        <v>38</v>
      </c>
      <c r="G75" s="203">
        <v>66.5</v>
      </c>
      <c r="H75" s="203" t="s">
        <v>1095</v>
      </c>
      <c r="I75" s="203" t="str">
        <f>VLOOKUP(H75,Sheet4!A:B,2,)</f>
        <v>MATTE Black LIP</v>
      </c>
      <c r="J75" s="205">
        <f>20-4-4-4+4-4-4+8-4-4+4-4-4</f>
        <v>0</v>
      </c>
    </row>
    <row r="76" s="92" customFormat="1" ht="28" customHeight="1" spans="1:10">
      <c r="A76" s="224"/>
      <c r="B76" s="204" t="s">
        <v>1143</v>
      </c>
      <c r="C76" s="203" t="s">
        <v>1107</v>
      </c>
      <c r="D76" s="236" t="s">
        <v>23</v>
      </c>
      <c r="E76" s="236" t="s">
        <v>208</v>
      </c>
      <c r="F76" s="236">
        <v>36</v>
      </c>
      <c r="G76" s="236">
        <v>66.5</v>
      </c>
      <c r="H76" s="236" t="s">
        <v>1095</v>
      </c>
      <c r="I76" s="236" t="str">
        <f>VLOOKUP(H76,Sheet4!A:B,2,)</f>
        <v>MATTE Black LIP</v>
      </c>
      <c r="J76" s="205">
        <f>4-4+20-2+2-4-2-2-4-4+4-4-1-2+1-2+8+4-2-4-4-2+4-4</f>
        <v>0</v>
      </c>
    </row>
    <row r="77" s="92" customFormat="1" ht="28" customHeight="1" spans="1:10">
      <c r="A77" s="224"/>
      <c r="B77" s="204" t="s">
        <v>1143</v>
      </c>
      <c r="C77" s="203" t="s">
        <v>1107</v>
      </c>
      <c r="D77" s="236" t="s">
        <v>482</v>
      </c>
      <c r="E77" s="236" t="s">
        <v>208</v>
      </c>
      <c r="F77" s="203">
        <v>43</v>
      </c>
      <c r="G77" s="203">
        <v>66.5</v>
      </c>
      <c r="H77" s="236" t="s">
        <v>1095</v>
      </c>
      <c r="I77" s="236" t="str">
        <f>VLOOKUP(H77,Sheet4!A:B,2,)</f>
        <v>MATTE Black LIP</v>
      </c>
      <c r="J77" s="205">
        <f>8-2+2-2-2+4-2-2-2-2</f>
        <v>0</v>
      </c>
    </row>
    <row r="78" s="92" customFormat="1" ht="28" customHeight="1" spans="1:10">
      <c r="A78" s="224"/>
      <c r="B78" s="204" t="s">
        <v>1144</v>
      </c>
      <c r="C78" s="203" t="s">
        <v>1107</v>
      </c>
      <c r="D78" s="204" t="s">
        <v>29</v>
      </c>
      <c r="E78" s="204" t="s">
        <v>208</v>
      </c>
      <c r="F78" s="202">
        <v>36</v>
      </c>
      <c r="G78" s="202">
        <v>66.5</v>
      </c>
      <c r="H78" s="204" t="s">
        <v>1095</v>
      </c>
      <c r="I78" s="204" t="str">
        <f>VLOOKUP(H78,Sheet4!A:B,2,)</f>
        <v>MATTE Black LIP</v>
      </c>
      <c r="J78" s="205">
        <f>4+4-4+4-4+8-2+2-4-1+1-1-2+2-4+2-2+2+4-4-4-1+8-2-2-2-1+2+4+1-2+4-4-4-2+6-2-4+2</f>
        <v>2</v>
      </c>
    </row>
    <row r="79" s="92" customFormat="1" ht="28" customHeight="1" spans="1:10">
      <c r="A79" s="224"/>
      <c r="B79" s="204" t="s">
        <v>1144</v>
      </c>
      <c r="C79" s="203" t="s">
        <v>1107</v>
      </c>
      <c r="D79" s="204" t="s">
        <v>225</v>
      </c>
      <c r="E79" s="204" t="s">
        <v>208</v>
      </c>
      <c r="F79" s="202">
        <v>43</v>
      </c>
      <c r="G79" s="202">
        <v>66.5</v>
      </c>
      <c r="H79" s="204" t="s">
        <v>1095</v>
      </c>
      <c r="I79" s="204" t="str">
        <f>VLOOKUP(H79,Sheet4!A:B,2,)</f>
        <v>MATTE Black LIP</v>
      </c>
      <c r="J79" s="205">
        <f>3+1-2+2-1-2+2+2-2+2+4-1-2-2-2+2-2+4-4-2+6-2-4+2</f>
        <v>2</v>
      </c>
    </row>
    <row r="80" s="92" customFormat="1" ht="28" customHeight="1" spans="1:10">
      <c r="A80" s="224"/>
      <c r="B80" s="204" t="s">
        <v>1145</v>
      </c>
      <c r="C80" s="203" t="s">
        <v>1107</v>
      </c>
      <c r="D80" s="204" t="s">
        <v>29</v>
      </c>
      <c r="E80" s="204" t="s">
        <v>208</v>
      </c>
      <c r="F80" s="202">
        <v>40</v>
      </c>
      <c r="G80" s="202">
        <v>66.5</v>
      </c>
      <c r="H80" s="204" t="s">
        <v>1093</v>
      </c>
      <c r="I80" s="204" t="str">
        <f>VLOOKUP(H80,Sheet4!A:B,2,)</f>
        <v>Matt Black Machine Red Lip</v>
      </c>
      <c r="J80" s="205">
        <f>4-4+2+4-2-4+8-4-4</f>
        <v>0</v>
      </c>
    </row>
    <row r="81" s="92" customFormat="1" ht="28" customHeight="1" spans="1:10">
      <c r="A81" s="226"/>
      <c r="B81" s="232" t="s">
        <v>1145</v>
      </c>
      <c r="C81" s="207" t="s">
        <v>1107</v>
      </c>
      <c r="D81" s="237" t="s">
        <v>225</v>
      </c>
      <c r="E81" s="237" t="s">
        <v>208</v>
      </c>
      <c r="F81" s="207">
        <v>43</v>
      </c>
      <c r="G81" s="207">
        <v>66.5</v>
      </c>
      <c r="H81" s="237" t="s">
        <v>1093</v>
      </c>
      <c r="I81" s="237" t="str">
        <f>VLOOKUP(H81,Sheet4!A:B,2,)</f>
        <v>Matt Black Machine Red Lip</v>
      </c>
      <c r="J81" s="227">
        <f>4+2-2-4</f>
        <v>0</v>
      </c>
    </row>
    <row r="82" s="92" customFormat="1" ht="30" customHeight="1" spans="1:10">
      <c r="A82" s="201"/>
      <c r="B82" s="202" t="s">
        <v>1146</v>
      </c>
      <c r="C82" s="203" t="s">
        <v>1147</v>
      </c>
      <c r="D82" s="204" t="s">
        <v>23</v>
      </c>
      <c r="E82" s="203" t="s">
        <v>208</v>
      </c>
      <c r="F82" s="203">
        <v>32</v>
      </c>
      <c r="G82" s="208">
        <v>66.5</v>
      </c>
      <c r="H82" s="203" t="s">
        <v>53</v>
      </c>
      <c r="I82" s="203" t="str">
        <f>VLOOKUP(H82,Sheet4!A:B,2,)</f>
        <v>polish</v>
      </c>
      <c r="J82" s="205">
        <f>12-4-1-7+8+2-2-2</f>
        <v>6</v>
      </c>
    </row>
    <row r="83" s="92" customFormat="1" ht="30" customHeight="1" spans="1:10">
      <c r="A83" s="201"/>
      <c r="B83" s="202" t="s">
        <v>1148</v>
      </c>
      <c r="C83" s="203" t="s">
        <v>1147</v>
      </c>
      <c r="D83" s="204" t="s">
        <v>482</v>
      </c>
      <c r="E83" s="203" t="s">
        <v>208</v>
      </c>
      <c r="F83" s="203">
        <v>40</v>
      </c>
      <c r="G83" s="208">
        <v>66.5</v>
      </c>
      <c r="H83" s="203" t="s">
        <v>53</v>
      </c>
      <c r="I83" s="203" t="s">
        <v>272</v>
      </c>
      <c r="J83" s="205">
        <f>4-2-2+2-2+6</f>
        <v>6</v>
      </c>
    </row>
    <row r="84" s="92" customFormat="1" ht="30" customHeight="1" spans="1:10">
      <c r="A84" s="201"/>
      <c r="B84" s="202" t="s">
        <v>1149</v>
      </c>
      <c r="C84" s="203" t="s">
        <v>1147</v>
      </c>
      <c r="D84" s="204" t="s">
        <v>29</v>
      </c>
      <c r="E84" s="203" t="s">
        <v>208</v>
      </c>
      <c r="F84" s="203">
        <v>32</v>
      </c>
      <c r="G84" s="208">
        <v>66.5</v>
      </c>
      <c r="H84" s="203" t="s">
        <v>53</v>
      </c>
      <c r="I84" s="203" t="s">
        <v>272</v>
      </c>
      <c r="J84" s="205">
        <f>10-2</f>
        <v>8</v>
      </c>
    </row>
    <row r="85" s="92" customFormat="1" ht="30" customHeight="1" spans="1:10">
      <c r="A85" s="206"/>
      <c r="B85" s="238" t="s">
        <v>1150</v>
      </c>
      <c r="C85" s="239" t="s">
        <v>1147</v>
      </c>
      <c r="D85" s="240" t="s">
        <v>225</v>
      </c>
      <c r="E85" s="239" t="s">
        <v>208</v>
      </c>
      <c r="F85" s="239">
        <v>40</v>
      </c>
      <c r="G85" s="241">
        <v>66.5</v>
      </c>
      <c r="H85" s="239" t="s">
        <v>53</v>
      </c>
      <c r="I85" s="239" t="str">
        <f>VLOOKUP(H85,Sheet4!A:B,2,)</f>
        <v>polish</v>
      </c>
      <c r="J85" s="242">
        <f>10-2</f>
        <v>8</v>
      </c>
    </row>
    <row r="86" s="92" customFormat="1" ht="30" customHeight="1" spans="1:10">
      <c r="A86" s="201"/>
      <c r="B86" s="202" t="s">
        <v>1151</v>
      </c>
      <c r="C86" s="91" t="s">
        <v>1147</v>
      </c>
      <c r="D86" s="204" t="s">
        <v>23</v>
      </c>
      <c r="E86" s="203" t="s">
        <v>208</v>
      </c>
      <c r="F86" s="203" t="s">
        <v>1152</v>
      </c>
      <c r="G86" s="203">
        <v>66.5</v>
      </c>
      <c r="H86" s="203" t="s">
        <v>53</v>
      </c>
      <c r="I86" s="203" t="s">
        <v>272</v>
      </c>
      <c r="J86" s="205">
        <f>8+2</f>
        <v>10</v>
      </c>
    </row>
    <row r="87" s="92" customFormat="1" ht="30" customHeight="1" spans="1:10">
      <c r="A87" s="224"/>
      <c r="B87" s="204" t="s">
        <v>1153</v>
      </c>
      <c r="C87" s="91" t="s">
        <v>1147</v>
      </c>
      <c r="D87" s="236" t="s">
        <v>482</v>
      </c>
      <c r="E87" s="236" t="s">
        <v>208</v>
      </c>
      <c r="F87" s="203">
        <v>40</v>
      </c>
      <c r="G87" s="203">
        <v>66.5</v>
      </c>
      <c r="H87" s="236" t="s">
        <v>53</v>
      </c>
      <c r="I87" s="236" t="str">
        <f>VLOOKUP(H87,Sheet4!A:B,2,)</f>
        <v>polish</v>
      </c>
      <c r="J87" s="205">
        <v>2</v>
      </c>
    </row>
    <row r="88" s="92" customFormat="1" ht="30" customHeight="1" spans="1:10">
      <c r="A88" s="224"/>
      <c r="B88" s="204" t="s">
        <v>1154</v>
      </c>
      <c r="C88" s="91" t="s">
        <v>1147</v>
      </c>
      <c r="D88" s="236" t="s">
        <v>29</v>
      </c>
      <c r="E88" s="236" t="s">
        <v>208</v>
      </c>
      <c r="F88" s="203">
        <v>32</v>
      </c>
      <c r="G88" s="203">
        <v>66.5</v>
      </c>
      <c r="H88" s="236" t="s">
        <v>53</v>
      </c>
      <c r="I88" s="236" t="str">
        <f>VLOOKUP(H88,Sheet4!A:B,2,)</f>
        <v>polish</v>
      </c>
      <c r="J88" s="205">
        <f>4-2+2</f>
        <v>4</v>
      </c>
    </row>
    <row r="89" s="92" customFormat="1" ht="30" customHeight="1" spans="1:10">
      <c r="A89" s="226"/>
      <c r="B89" s="232" t="s">
        <v>1155</v>
      </c>
      <c r="C89" s="101" t="s">
        <v>1147</v>
      </c>
      <c r="D89" s="237" t="s">
        <v>225</v>
      </c>
      <c r="E89" s="237" t="s">
        <v>208</v>
      </c>
      <c r="F89" s="207">
        <v>40</v>
      </c>
      <c r="G89" s="207">
        <v>66.5</v>
      </c>
      <c r="H89" s="243" t="s">
        <v>53</v>
      </c>
      <c r="I89" s="243" t="str">
        <f>VLOOKUP(H89,Sheet4!A:B,2,)</f>
        <v>polish</v>
      </c>
      <c r="J89" s="242">
        <f>4-2+2</f>
        <v>4</v>
      </c>
    </row>
    <row r="90" s="92" customFormat="1" ht="62" customHeight="1" spans="1:10">
      <c r="A90" s="224"/>
      <c r="B90" s="204" t="s">
        <v>1156</v>
      </c>
      <c r="C90" s="91" t="s">
        <v>1147</v>
      </c>
      <c r="D90" s="236" t="s">
        <v>23</v>
      </c>
      <c r="E90" s="236" t="s">
        <v>208</v>
      </c>
      <c r="F90" s="203">
        <v>36</v>
      </c>
      <c r="G90" s="203">
        <v>66.5</v>
      </c>
      <c r="H90" s="236" t="s">
        <v>87</v>
      </c>
      <c r="I90" s="236" t="str">
        <f>VLOOKUP(H90,Sheet4!A:B,2,)</f>
        <v>Gunmetal Machine Face</v>
      </c>
      <c r="J90" s="205">
        <v>0</v>
      </c>
    </row>
    <row r="91" s="92" customFormat="1" ht="62" customHeight="1" spans="1:10">
      <c r="A91" s="224"/>
      <c r="B91" s="204" t="s">
        <v>1156</v>
      </c>
      <c r="C91" s="244" t="s">
        <v>1147</v>
      </c>
      <c r="D91" s="236" t="s">
        <v>482</v>
      </c>
      <c r="E91" s="236" t="s">
        <v>208</v>
      </c>
      <c r="F91" s="203">
        <v>43</v>
      </c>
      <c r="G91" s="203">
        <v>66.5</v>
      </c>
      <c r="H91" s="236" t="s">
        <v>87</v>
      </c>
      <c r="I91" s="237" t="str">
        <f>VLOOKUP(H91,Sheet4!A:B,2,)</f>
        <v>Gunmetal Machine Face</v>
      </c>
      <c r="J91" s="205">
        <v>0</v>
      </c>
    </row>
    <row r="92" s="92" customFormat="1" ht="57" customHeight="1" spans="1:10">
      <c r="A92" s="209"/>
      <c r="B92" s="210" t="s">
        <v>1157</v>
      </c>
      <c r="C92" s="91" t="s">
        <v>1147</v>
      </c>
      <c r="D92" s="212" t="s">
        <v>29</v>
      </c>
      <c r="E92" s="211" t="s">
        <v>208</v>
      </c>
      <c r="F92" s="212">
        <v>32</v>
      </c>
      <c r="G92" s="212">
        <v>66.5</v>
      </c>
      <c r="H92" s="212" t="s">
        <v>26</v>
      </c>
      <c r="I92" s="245" t="str">
        <f>VLOOKUP(H92,Sheet4!A:B,2,)</f>
        <v>Gloss Black Polisph Face</v>
      </c>
      <c r="J92" s="214">
        <f>10-2</f>
        <v>8</v>
      </c>
    </row>
    <row r="93" s="92" customFormat="1" ht="57" customHeight="1" spans="1:10">
      <c r="A93" s="206"/>
      <c r="B93" s="233" t="s">
        <v>1158</v>
      </c>
      <c r="C93" s="244" t="s">
        <v>1147</v>
      </c>
      <c r="D93" s="207" t="s">
        <v>225</v>
      </c>
      <c r="E93" s="232" t="s">
        <v>208</v>
      </c>
      <c r="F93" s="207">
        <v>40</v>
      </c>
      <c r="G93" s="207">
        <v>66.5</v>
      </c>
      <c r="H93" s="207" t="s">
        <v>26</v>
      </c>
      <c r="I93" s="246" t="str">
        <f>VLOOKUP(H93,Sheet4!A:B,2,)</f>
        <v>Gloss Black Polisph Face</v>
      </c>
      <c r="J93" s="227">
        <f>10-2</f>
        <v>8</v>
      </c>
    </row>
    <row r="94" s="92" customFormat="1" ht="30" customHeight="1" spans="1:10">
      <c r="A94" s="209"/>
      <c r="B94" s="210" t="s">
        <v>1159</v>
      </c>
      <c r="C94" s="211" t="s">
        <v>1147</v>
      </c>
      <c r="D94" s="212" t="s">
        <v>23</v>
      </c>
      <c r="E94" s="212" t="s">
        <v>208</v>
      </c>
      <c r="F94" s="212">
        <v>32</v>
      </c>
      <c r="G94" s="212">
        <v>66.5</v>
      </c>
      <c r="H94" s="212" t="s">
        <v>53</v>
      </c>
      <c r="I94" s="212" t="str">
        <f>VLOOKUP(H94,Sheet4!A:B,2,)</f>
        <v>polish</v>
      </c>
      <c r="J94" s="214">
        <f>8-2+2-2-2-4+4-4+4-2-2+20+10-4-2-2-2-2-2</f>
        <v>16</v>
      </c>
    </row>
    <row r="95" s="92" customFormat="1" ht="30" customHeight="1" spans="1:10">
      <c r="A95" s="201"/>
      <c r="B95" s="202" t="s">
        <v>1159</v>
      </c>
      <c r="C95" s="204" t="s">
        <v>1147</v>
      </c>
      <c r="D95" s="203" t="s">
        <v>482</v>
      </c>
      <c r="E95" s="203" t="s">
        <v>208</v>
      </c>
      <c r="F95" s="203">
        <v>40</v>
      </c>
      <c r="G95" s="203">
        <v>66.5</v>
      </c>
      <c r="H95" s="203" t="s">
        <v>53</v>
      </c>
      <c r="I95" s="203" t="str">
        <f>VLOOKUP(H95,Sheet4!A:B,2,)</f>
        <v>polish</v>
      </c>
      <c r="J95" s="205">
        <f>4-2+2-2-2+4-2-2+4+6-2-2-2-2-2</f>
        <v>0</v>
      </c>
    </row>
    <row r="96" s="92" customFormat="1" ht="30" customHeight="1" spans="1:10">
      <c r="A96" s="201"/>
      <c r="B96" s="202" t="s">
        <v>1160</v>
      </c>
      <c r="C96" s="204" t="s">
        <v>1147</v>
      </c>
      <c r="D96" s="203" t="s">
        <v>29</v>
      </c>
      <c r="E96" s="203" t="s">
        <v>208</v>
      </c>
      <c r="F96" s="203">
        <v>32</v>
      </c>
      <c r="G96" s="203">
        <v>66.5</v>
      </c>
      <c r="H96" s="203" t="s">
        <v>53</v>
      </c>
      <c r="I96" s="203" t="str">
        <f>VLOOKUP(H96,Sheet4!A:B,2,)</f>
        <v>polish</v>
      </c>
      <c r="J96" s="205">
        <f>2-2+2-2+2-2+4-2-2+6-2-2-2+4-2-2+6-2-2+4-2-2-2+6-2+4-2-2+6-2-2-2-2-2+8-2-2-2-2+1+2-2+8-2-2-2-2+6-2-2+2-2</f>
        <v>3</v>
      </c>
    </row>
    <row r="97" s="92" customFormat="1" ht="30" customHeight="1" spans="1:10">
      <c r="A97" s="201"/>
      <c r="B97" s="202" t="s">
        <v>1160</v>
      </c>
      <c r="C97" s="204" t="s">
        <v>1147</v>
      </c>
      <c r="D97" s="203" t="s">
        <v>225</v>
      </c>
      <c r="E97" s="203" t="s">
        <v>208</v>
      </c>
      <c r="F97" s="203">
        <v>40</v>
      </c>
      <c r="G97" s="203">
        <v>66.5</v>
      </c>
      <c r="H97" s="203" t="s">
        <v>53</v>
      </c>
      <c r="I97" s="203" t="str">
        <f>VLOOKUP(H97,Sheet4!A:B,2,)</f>
        <v>polish</v>
      </c>
      <c r="J97" s="205">
        <f>2-2+2-2+2-2+4-2-2+6-2-1-2+1-2+4-2-2+6-2-2+4-2-2-2+6-2-2-2+6-2-2-2+4-2-2+8-2-2-2-2+1+2-2+8-2-2-2-2-1+6-2-2+2-2</f>
        <v>2</v>
      </c>
    </row>
    <row r="98" s="92" customFormat="1" ht="30" customHeight="1" spans="1:10">
      <c r="A98" s="201"/>
      <c r="B98" s="202" t="s">
        <v>1161</v>
      </c>
      <c r="C98" s="204" t="s">
        <v>1147</v>
      </c>
      <c r="D98" s="203" t="s">
        <v>31</v>
      </c>
      <c r="E98" s="203" t="s">
        <v>208</v>
      </c>
      <c r="F98" s="203">
        <v>32</v>
      </c>
      <c r="G98" s="203">
        <v>66.5</v>
      </c>
      <c r="H98" s="203" t="s">
        <v>53</v>
      </c>
      <c r="I98" s="203" t="s">
        <v>272</v>
      </c>
      <c r="J98" s="205">
        <f>4-2+2</f>
        <v>4</v>
      </c>
    </row>
    <row r="99" s="92" customFormat="1" ht="30" customHeight="1" spans="1:10">
      <c r="A99" s="201"/>
      <c r="B99" s="202" t="s">
        <v>1161</v>
      </c>
      <c r="C99" s="204" t="s">
        <v>1147</v>
      </c>
      <c r="D99" s="203" t="s">
        <v>556</v>
      </c>
      <c r="E99" s="203" t="s">
        <v>208</v>
      </c>
      <c r="F99" s="203">
        <v>40</v>
      </c>
      <c r="G99" s="203">
        <v>66.5</v>
      </c>
      <c r="H99" s="203" t="s">
        <v>53</v>
      </c>
      <c r="I99" s="203" t="s">
        <v>272</v>
      </c>
      <c r="J99" s="205">
        <f>4-2+2</f>
        <v>4</v>
      </c>
    </row>
    <row r="100" s="92" customFormat="1" ht="30" customHeight="1" spans="1:10">
      <c r="A100" s="209"/>
      <c r="B100" s="210" t="s">
        <v>1162</v>
      </c>
      <c r="C100" s="211" t="s">
        <v>1147</v>
      </c>
      <c r="D100" s="212" t="s">
        <v>23</v>
      </c>
      <c r="E100" s="212" t="s">
        <v>208</v>
      </c>
      <c r="F100" s="212">
        <v>32</v>
      </c>
      <c r="G100" s="212">
        <v>66.5</v>
      </c>
      <c r="H100" s="212" t="s">
        <v>21</v>
      </c>
      <c r="I100" s="212" t="str">
        <f>VLOOKUP(H100,Sheet4!A:B,2,)</f>
        <v>Black Machine Face</v>
      </c>
      <c r="J100" s="214">
        <v>0</v>
      </c>
    </row>
    <row r="101" s="92" customFormat="1" ht="30" customHeight="1" spans="1:10">
      <c r="A101" s="201"/>
      <c r="B101" s="202" t="s">
        <v>1162</v>
      </c>
      <c r="C101" s="204" t="s">
        <v>1147</v>
      </c>
      <c r="D101" s="203" t="s">
        <v>482</v>
      </c>
      <c r="E101" s="203" t="s">
        <v>208</v>
      </c>
      <c r="F101" s="203">
        <v>40</v>
      </c>
      <c r="G101" s="203">
        <v>66.5</v>
      </c>
      <c r="H101" s="203" t="s">
        <v>21</v>
      </c>
      <c r="I101" s="203" t="str">
        <f>VLOOKUP(H101,Sheet4!A:B,2,)</f>
        <v>Black Machine Face</v>
      </c>
      <c r="J101" s="205">
        <v>0</v>
      </c>
    </row>
    <row r="102" s="92" customFormat="1" ht="30" customHeight="1" spans="1:10">
      <c r="A102" s="201"/>
      <c r="B102" s="202" t="s">
        <v>1163</v>
      </c>
      <c r="C102" s="204" t="s">
        <v>1147</v>
      </c>
      <c r="D102" s="203" t="s">
        <v>29</v>
      </c>
      <c r="E102" s="203" t="s">
        <v>208</v>
      </c>
      <c r="F102" s="203">
        <v>32</v>
      </c>
      <c r="G102" s="203">
        <v>66.5</v>
      </c>
      <c r="H102" s="203" t="s">
        <v>21</v>
      </c>
      <c r="I102" s="203" t="str">
        <f>VLOOKUP(H102,Sheet4!A:B,2,)</f>
        <v>Black Machine Face</v>
      </c>
      <c r="J102" s="205">
        <f>2-2</f>
        <v>0</v>
      </c>
    </row>
    <row r="103" s="92" customFormat="1" ht="30" customHeight="1" spans="1:10">
      <c r="A103" s="201"/>
      <c r="B103" s="202" t="s">
        <v>1163</v>
      </c>
      <c r="C103" s="204" t="s">
        <v>1147</v>
      </c>
      <c r="D103" s="203" t="s">
        <v>225</v>
      </c>
      <c r="E103" s="203" t="s">
        <v>208</v>
      </c>
      <c r="F103" s="203">
        <v>40</v>
      </c>
      <c r="G103" s="203">
        <v>66.5</v>
      </c>
      <c r="H103" s="203" t="s">
        <v>21</v>
      </c>
      <c r="I103" s="203" t="str">
        <f>VLOOKUP(H103,Sheet4!A:B,2,)</f>
        <v>Black Machine Face</v>
      </c>
      <c r="J103" s="205">
        <f>2-2</f>
        <v>0</v>
      </c>
    </row>
    <row r="104" s="92" customFormat="1" ht="31" customHeight="1" spans="1:10">
      <c r="A104" s="209"/>
      <c r="B104" s="210" t="s">
        <v>1164</v>
      </c>
      <c r="C104" s="211" t="s">
        <v>1147</v>
      </c>
      <c r="D104" s="212" t="s">
        <v>23</v>
      </c>
      <c r="E104" s="212" t="s">
        <v>208</v>
      </c>
      <c r="F104" s="212">
        <v>32</v>
      </c>
      <c r="G104" s="212">
        <v>66.5</v>
      </c>
      <c r="H104" s="212" t="s">
        <v>21</v>
      </c>
      <c r="I104" s="212" t="str">
        <f>VLOOKUP(H104,Sheet4!A:B,2,)</f>
        <v>Black Machine Face</v>
      </c>
      <c r="J104" s="214">
        <f>2+2</f>
        <v>4</v>
      </c>
    </row>
    <row r="105" s="92" customFormat="1" ht="31" customHeight="1" spans="1:10">
      <c r="A105" s="201"/>
      <c r="B105" s="202" t="s">
        <v>1165</v>
      </c>
      <c r="C105" s="204" t="s">
        <v>1147</v>
      </c>
      <c r="D105" s="203" t="s">
        <v>482</v>
      </c>
      <c r="E105" s="203" t="s">
        <v>208</v>
      </c>
      <c r="F105" s="203">
        <v>40</v>
      </c>
      <c r="G105" s="203">
        <v>66.5</v>
      </c>
      <c r="H105" s="203" t="s">
        <v>21</v>
      </c>
      <c r="I105" s="203" t="str">
        <f>VLOOKUP(H105,Sheet4!A:B,2,)</f>
        <v>Black Machine Face</v>
      </c>
      <c r="J105" s="205">
        <f>2+2</f>
        <v>4</v>
      </c>
    </row>
    <row r="106" s="92" customFormat="1" ht="31" customHeight="1" spans="1:10">
      <c r="A106" s="201"/>
      <c r="B106" s="202" t="s">
        <v>1166</v>
      </c>
      <c r="C106" s="204" t="s">
        <v>1147</v>
      </c>
      <c r="D106" s="203" t="s">
        <v>29</v>
      </c>
      <c r="E106" s="203" t="s">
        <v>208</v>
      </c>
      <c r="F106" s="203">
        <v>32</v>
      </c>
      <c r="G106" s="203">
        <v>66.5</v>
      </c>
      <c r="H106" s="203" t="s">
        <v>21</v>
      </c>
      <c r="I106" s="203" t="str">
        <f>VLOOKUP(H106,Sheet4!A:B,2,)</f>
        <v>Black Machine Face</v>
      </c>
      <c r="J106" s="205">
        <f>2-2+2+2-2-2+2+2-2-2+10-2</f>
        <v>8</v>
      </c>
    </row>
    <row r="107" s="92" customFormat="1" ht="31" customHeight="1" spans="1:10">
      <c r="A107" s="206"/>
      <c r="B107" s="233" t="s">
        <v>1167</v>
      </c>
      <c r="C107" s="232" t="s">
        <v>1147</v>
      </c>
      <c r="D107" s="207" t="s">
        <v>225</v>
      </c>
      <c r="E107" s="207" t="s">
        <v>208</v>
      </c>
      <c r="F107" s="207">
        <v>40</v>
      </c>
      <c r="G107" s="207">
        <v>66.5</v>
      </c>
      <c r="H107" s="207" t="s">
        <v>21</v>
      </c>
      <c r="I107" s="207" t="str">
        <f>VLOOKUP(H107,Sheet4!A:B,2,)</f>
        <v>Black Machine Face</v>
      </c>
      <c r="J107" s="227">
        <f>2-2+2+2-2-2+2+2-2-2+10-2</f>
        <v>8</v>
      </c>
    </row>
    <row r="108" s="92" customFormat="1" ht="21" customHeight="1" spans="1:10">
      <c r="A108" s="201"/>
      <c r="B108" s="225" t="s">
        <v>1168</v>
      </c>
      <c r="C108" s="225" t="s">
        <v>1147</v>
      </c>
      <c r="D108" s="225" t="s">
        <v>23</v>
      </c>
      <c r="E108" s="225" t="s">
        <v>208</v>
      </c>
      <c r="F108" s="225">
        <v>32</v>
      </c>
      <c r="G108" s="225">
        <v>66.5</v>
      </c>
      <c r="H108" s="225" t="s">
        <v>16</v>
      </c>
      <c r="I108" s="225" t="str">
        <f>VLOOKUP(H108,Sheet4!A:B,2,)</f>
        <v>GLOSS BLACK</v>
      </c>
      <c r="J108" s="247">
        <f>6-2-2-2+4-2-2+2-2+2-2+2-2+2-2</f>
        <v>0</v>
      </c>
    </row>
    <row r="109" s="92" customFormat="1" ht="21" customHeight="1" spans="1:10">
      <c r="A109" s="201"/>
      <c r="B109" s="225" t="s">
        <v>1169</v>
      </c>
      <c r="C109" s="225" t="s">
        <v>1147</v>
      </c>
      <c r="D109" s="225" t="s">
        <v>482</v>
      </c>
      <c r="E109" s="225" t="s">
        <v>208</v>
      </c>
      <c r="F109" s="225" t="s">
        <v>448</v>
      </c>
      <c r="G109" s="225">
        <v>66.5</v>
      </c>
      <c r="H109" s="225" t="s">
        <v>16</v>
      </c>
      <c r="I109" s="225" t="str">
        <f>VLOOKUP(H109,Sheet4!A:B,2,)</f>
        <v>GLOSS BLACK</v>
      </c>
      <c r="J109" s="247">
        <f>6-2-1-2+4-2-2+2-2+2-2+2-2</f>
        <v>1</v>
      </c>
    </row>
    <row r="110" s="92" customFormat="1" ht="21" customHeight="1" spans="1:10">
      <c r="A110" s="201"/>
      <c r="B110" s="225" t="s">
        <v>1170</v>
      </c>
      <c r="C110" s="225" t="s">
        <v>1147</v>
      </c>
      <c r="D110" s="225" t="s">
        <v>29</v>
      </c>
      <c r="E110" s="225" t="s">
        <v>208</v>
      </c>
      <c r="F110" s="225">
        <v>32</v>
      </c>
      <c r="G110" s="225">
        <v>66.5</v>
      </c>
      <c r="H110" s="225" t="s">
        <v>16</v>
      </c>
      <c r="I110" s="225" t="str">
        <f>VLOOKUP(H110,Sheet4!A:B,2,)</f>
        <v>GLOSS BLACK</v>
      </c>
      <c r="J110" s="247">
        <f>2+6-2-2</f>
        <v>4</v>
      </c>
    </row>
    <row r="111" s="92" customFormat="1" ht="21" customHeight="1" spans="1:10">
      <c r="A111" s="201"/>
      <c r="B111" s="225" t="s">
        <v>1171</v>
      </c>
      <c r="C111" s="225" t="s">
        <v>1147</v>
      </c>
      <c r="D111" s="225" t="s">
        <v>225</v>
      </c>
      <c r="E111" s="225" t="s">
        <v>208</v>
      </c>
      <c r="F111" s="225">
        <v>40</v>
      </c>
      <c r="G111" s="225">
        <v>66.5</v>
      </c>
      <c r="H111" s="225" t="s">
        <v>16</v>
      </c>
      <c r="I111" s="225" t="str">
        <f>VLOOKUP(H111,Sheet4!A:B,2,)</f>
        <v>GLOSS BLACK</v>
      </c>
      <c r="J111" s="247">
        <f>2+6-2-2</f>
        <v>4</v>
      </c>
    </row>
    <row r="112" s="92" customFormat="1" ht="21" customHeight="1" spans="1:10">
      <c r="A112" s="201"/>
      <c r="B112" s="202" t="s">
        <v>1172</v>
      </c>
      <c r="C112" s="225" t="s">
        <v>1147</v>
      </c>
      <c r="D112" s="203" t="s">
        <v>31</v>
      </c>
      <c r="E112" s="203" t="s">
        <v>208</v>
      </c>
      <c r="F112" s="203">
        <v>32</v>
      </c>
      <c r="G112" s="203">
        <v>66.5</v>
      </c>
      <c r="H112" s="203" t="s">
        <v>16</v>
      </c>
      <c r="I112" s="203" t="str">
        <f>VLOOKUP(H112,Sheet4!A:B,2,)</f>
        <v>GLOSS BLACK</v>
      </c>
      <c r="J112" s="205">
        <f>2-2+2-2+4-2+2-2-2+2-2+4-2+2-2-2+6-6+4-4+6-2</f>
        <v>4</v>
      </c>
    </row>
    <row r="113" s="92" customFormat="1" ht="21" customHeight="1" spans="1:10">
      <c r="A113" s="206"/>
      <c r="B113" s="233" t="s">
        <v>1173</v>
      </c>
      <c r="C113" s="217" t="s">
        <v>1147</v>
      </c>
      <c r="D113" s="207" t="s">
        <v>556</v>
      </c>
      <c r="E113" s="207" t="s">
        <v>208</v>
      </c>
      <c r="F113" s="207">
        <v>40</v>
      </c>
      <c r="G113" s="207">
        <v>66.5</v>
      </c>
      <c r="H113" s="207" t="s">
        <v>16</v>
      </c>
      <c r="I113" s="207" t="str">
        <f>VLOOKUP(H113,Sheet4!A:B,2,)</f>
        <v>GLOSS BLACK</v>
      </c>
      <c r="J113" s="227">
        <f>4-2-2+4-2+2-2-2+2-2+4-2+2-2-2+6-6+4-4+6-2</f>
        <v>4</v>
      </c>
    </row>
    <row r="114" s="92" customFormat="1" ht="22" customHeight="1" spans="1:10">
      <c r="A114" s="224"/>
      <c r="B114" s="204" t="s">
        <v>1174</v>
      </c>
      <c r="C114" s="204" t="s">
        <v>1147</v>
      </c>
      <c r="D114" s="204" t="s">
        <v>12</v>
      </c>
      <c r="E114" s="204" t="s">
        <v>208</v>
      </c>
      <c r="F114" s="204">
        <v>38</v>
      </c>
      <c r="G114" s="204">
        <v>66.56</v>
      </c>
      <c r="H114" s="204" t="s">
        <v>87</v>
      </c>
      <c r="I114" s="248" t="str">
        <f>VLOOKUP(H114,Sheet4!A:B,2,)</f>
        <v>Gunmetal Machine Face</v>
      </c>
      <c r="J114" s="205">
        <f>8-4-4+12-4-4-4+4-4+12-4-4-4+4+8-4-4+4-4-4+2+12-4-4-4+12-4-4-4+12-4-4-4+8+8+4-4-4-4-4-4</f>
        <v>2</v>
      </c>
    </row>
    <row r="115" s="92" customFormat="1" ht="22" customHeight="1" spans="1:10">
      <c r="A115" s="224"/>
      <c r="B115" s="204" t="s">
        <v>1175</v>
      </c>
      <c r="C115" s="204" t="s">
        <v>1147</v>
      </c>
      <c r="D115" s="204" t="s">
        <v>12</v>
      </c>
      <c r="E115" s="204" t="s">
        <v>208</v>
      </c>
      <c r="F115" s="204">
        <v>38</v>
      </c>
      <c r="G115" s="204">
        <v>66.56</v>
      </c>
      <c r="H115" s="204" t="s">
        <v>21</v>
      </c>
      <c r="I115" s="248" t="str">
        <f>VLOOKUP(H115,Sheet4!A:B,2,)</f>
        <v>Black Machine Face</v>
      </c>
      <c r="J115" s="205">
        <f>8-4+12-4-4-4-4+12-4</f>
        <v>8</v>
      </c>
    </row>
    <row r="116" s="92" customFormat="1" ht="22" customHeight="1" spans="1:10">
      <c r="A116" s="224"/>
      <c r="B116" s="225" t="s">
        <v>1176</v>
      </c>
      <c r="C116" s="204" t="s">
        <v>1147</v>
      </c>
      <c r="D116" s="204" t="s">
        <v>1177</v>
      </c>
      <c r="E116" s="204" t="s">
        <v>208</v>
      </c>
      <c r="F116" s="204">
        <v>40</v>
      </c>
      <c r="G116" s="204">
        <v>66.45</v>
      </c>
      <c r="H116" s="204" t="s">
        <v>87</v>
      </c>
      <c r="I116" s="248" t="str">
        <f>VLOOKUP(H116,Sheet4!A:B,2,)</f>
        <v>Gunmetal Machine Face</v>
      </c>
      <c r="J116" s="205">
        <v>1</v>
      </c>
    </row>
    <row r="117" s="92" customFormat="1" ht="22" customHeight="1" spans="1:10">
      <c r="A117" s="224"/>
      <c r="B117" s="204" t="s">
        <v>1178</v>
      </c>
      <c r="C117" s="204" t="s">
        <v>1147</v>
      </c>
      <c r="D117" s="204" t="s">
        <v>1179</v>
      </c>
      <c r="E117" s="204" t="s">
        <v>208</v>
      </c>
      <c r="F117" s="204">
        <v>32</v>
      </c>
      <c r="G117" s="204">
        <v>66.56</v>
      </c>
      <c r="H117" s="204" t="s">
        <v>21</v>
      </c>
      <c r="I117" s="248" t="str">
        <f>VLOOKUP(H117,Sheet4!A:B,2,)</f>
        <v>Black Machine Face</v>
      </c>
      <c r="J117" s="205">
        <f>4+4-2-4-2+8-4-4+4-2-2+14-2-4-2-2-4+8+4-4-4-2-2+8-2-4+4-4+4+8-4-2-2-4-1+8-2+4-4-2-4+12</f>
        <v>13</v>
      </c>
    </row>
    <row r="118" s="92" customFormat="1" ht="22" customHeight="1" spans="1:10">
      <c r="A118" s="224"/>
      <c r="B118" s="204" t="s">
        <v>1180</v>
      </c>
      <c r="C118" s="204" t="s">
        <v>1147</v>
      </c>
      <c r="D118" s="204" t="s">
        <v>1181</v>
      </c>
      <c r="E118" s="204" t="s">
        <v>208</v>
      </c>
      <c r="F118" s="204">
        <v>40</v>
      </c>
      <c r="G118" s="204">
        <v>66.56</v>
      </c>
      <c r="H118" s="204" t="s">
        <v>21</v>
      </c>
      <c r="I118" s="248" t="str">
        <f>VLOOKUP(H118,Sheet4!A:B,2,)</f>
        <v>Black Machine Face</v>
      </c>
      <c r="J118" s="205">
        <f>4+4-2-2-2+4-2+4-2-2</f>
        <v>4</v>
      </c>
    </row>
    <row r="119" s="92" customFormat="1" ht="22" customHeight="1" spans="1:10">
      <c r="A119" s="224"/>
      <c r="B119" s="204" t="s">
        <v>1182</v>
      </c>
      <c r="C119" s="204" t="s">
        <v>1147</v>
      </c>
      <c r="D119" s="204" t="s">
        <v>1179</v>
      </c>
      <c r="E119" s="204" t="s">
        <v>208</v>
      </c>
      <c r="F119" s="204" t="s">
        <v>1183</v>
      </c>
      <c r="G119" s="204">
        <v>66.56</v>
      </c>
      <c r="H119" s="204" t="s">
        <v>87</v>
      </c>
      <c r="I119" s="248" t="str">
        <f>VLOOKUP(H119,Sheet4!A:B,2,)</f>
        <v>Gunmetal Machine Face</v>
      </c>
      <c r="J119" s="228">
        <f>4-2+8-4-2-2+2-2+2-2+2+8-2-4+2-2-2+2-4+8-2+2+8-4-2-2</f>
        <v>10</v>
      </c>
    </row>
    <row r="120" s="92" customFormat="1" ht="22" customHeight="1" spans="1:10">
      <c r="A120" s="224"/>
      <c r="B120" s="204" t="s">
        <v>1184</v>
      </c>
      <c r="C120" s="204" t="s">
        <v>1147</v>
      </c>
      <c r="D120" s="204" t="s">
        <v>1181</v>
      </c>
      <c r="E120" s="204" t="s">
        <v>208</v>
      </c>
      <c r="F120" s="204">
        <v>40</v>
      </c>
      <c r="G120" s="204">
        <v>66.56</v>
      </c>
      <c r="H120" s="204" t="s">
        <v>87</v>
      </c>
      <c r="I120" s="248" t="str">
        <f>VLOOKUP(H120,Sheet4!A:B,2,)</f>
        <v>Gunmetal Machine Face</v>
      </c>
      <c r="J120" s="205">
        <f>11-2+4-2-2-2+1-2+2-2+2-2-2+2-4-2+2+8-2-2</f>
        <v>6</v>
      </c>
    </row>
    <row r="121" s="92" customFormat="1" ht="22" customHeight="1" spans="1:10">
      <c r="A121" s="224"/>
      <c r="B121" s="204" t="s">
        <v>1185</v>
      </c>
      <c r="C121" s="204" t="s">
        <v>1147</v>
      </c>
      <c r="D121" s="204" t="s">
        <v>29</v>
      </c>
      <c r="E121" s="204" t="s">
        <v>208</v>
      </c>
      <c r="F121" s="204">
        <v>33</v>
      </c>
      <c r="G121" s="204">
        <v>66.5</v>
      </c>
      <c r="H121" s="204" t="s">
        <v>21</v>
      </c>
      <c r="I121" s="248" t="str">
        <f>VLOOKUP(H121,Sheet4!A:B,2,)</f>
        <v>Black Machine Face</v>
      </c>
      <c r="J121" s="205">
        <v>0</v>
      </c>
    </row>
    <row r="122" s="92" customFormat="1" ht="22" customHeight="1" spans="1:10">
      <c r="A122" s="224"/>
      <c r="B122" s="204" t="s">
        <v>1185</v>
      </c>
      <c r="C122" s="204" t="s">
        <v>1147</v>
      </c>
      <c r="D122" s="204" t="s">
        <v>225</v>
      </c>
      <c r="E122" s="204" t="s">
        <v>208</v>
      </c>
      <c r="F122" s="204">
        <v>43</v>
      </c>
      <c r="G122" s="204">
        <v>66.5</v>
      </c>
      <c r="H122" s="204" t="s">
        <v>21</v>
      </c>
      <c r="I122" s="248" t="str">
        <f>VLOOKUP(H122,Sheet4!A:B,2,)</f>
        <v>Black Machine Face</v>
      </c>
      <c r="J122" s="205">
        <f>6+4-2-2-2+2-2-4+4-2-2+2-2</f>
        <v>0</v>
      </c>
    </row>
    <row r="123" s="92" customFormat="1" ht="22" customHeight="1" spans="1:10">
      <c r="A123" s="224"/>
      <c r="B123" s="204" t="s">
        <v>1186</v>
      </c>
      <c r="C123" s="204" t="s">
        <v>1147</v>
      </c>
      <c r="D123" s="204" t="s">
        <v>1187</v>
      </c>
      <c r="E123" s="204" t="s">
        <v>208</v>
      </c>
      <c r="F123" s="204">
        <v>32</v>
      </c>
      <c r="G123" s="204">
        <v>66.56</v>
      </c>
      <c r="H123" s="204" t="s">
        <v>87</v>
      </c>
      <c r="I123" s="248" t="str">
        <f>VLOOKUP(H123,Sheet4!A:B,2,)</f>
        <v>Gunmetal Machine Face</v>
      </c>
      <c r="J123" s="205">
        <f>4+2-2-4+1-1+2-2+2-2+4-2+4-2-4+4-2+2-4+8-2+4-2-2+6-2+2+2-4-2-2-2-2+4+4-2-1+2-2-2-2-2+4-2-2+16+8-4-2-2-4+4+1-2-2-2-1-2-4-2-2+4-4+2-2+4-2-1+4-2-4+8+2+2-2+2-2-2-4</f>
        <v>4</v>
      </c>
    </row>
    <row r="124" s="92" customFormat="1" ht="22" customHeight="1" spans="1:10">
      <c r="A124" s="226"/>
      <c r="B124" s="232" t="s">
        <v>1188</v>
      </c>
      <c r="C124" s="232" t="s">
        <v>1147</v>
      </c>
      <c r="D124" s="232" t="s">
        <v>1189</v>
      </c>
      <c r="E124" s="232" t="s">
        <v>208</v>
      </c>
      <c r="F124" s="232">
        <v>40</v>
      </c>
      <c r="G124" s="232">
        <v>66.56</v>
      </c>
      <c r="H124" s="232" t="s">
        <v>87</v>
      </c>
      <c r="I124" s="249" t="str">
        <f>VLOOKUP(H124,Sheet4!A:B,2,)</f>
        <v>Gunmetal Machine Face</v>
      </c>
      <c r="J124" s="227">
        <f>9-2-2-2+6+2-2-2-2-4+2-2+2-1+1+2-2+4-1-2-2-2+4-2+2-2-2+4-2-2+6-2+2+2-2-2-2-2+4+4-2+2-2-2-2-2+4-2-2+8+8-2-2-1-2-2-2+1-2-2-2+2-2+4+2-2-2-2+2+2-2+2-2-2</f>
        <v>0</v>
      </c>
    </row>
    <row r="125" s="92" customFormat="1" ht="22" customHeight="1" spans="1:10">
      <c r="A125" s="224"/>
      <c r="B125" s="202" t="s">
        <v>1190</v>
      </c>
      <c r="C125" s="203" t="s">
        <v>1147</v>
      </c>
      <c r="D125" s="203" t="s">
        <v>128</v>
      </c>
      <c r="E125" s="203" t="s">
        <v>208</v>
      </c>
      <c r="F125" s="203" t="s">
        <v>553</v>
      </c>
      <c r="G125" s="203">
        <v>66.56</v>
      </c>
      <c r="H125" s="203" t="s">
        <v>53</v>
      </c>
      <c r="I125" s="203" t="str">
        <f>VLOOKUP(H125,Sheet4!A:B,2,)</f>
        <v>polish</v>
      </c>
      <c r="J125" s="205">
        <f>4+12-4-1-4+9+8+1-4</f>
        <v>21</v>
      </c>
    </row>
    <row r="126" s="92" customFormat="1" ht="22" customHeight="1" spans="1:10">
      <c r="A126" s="224"/>
      <c r="B126" s="202" t="s">
        <v>1191</v>
      </c>
      <c r="C126" s="203" t="s">
        <v>1147</v>
      </c>
      <c r="D126" s="203" t="s">
        <v>12</v>
      </c>
      <c r="E126" s="203" t="s">
        <v>208</v>
      </c>
      <c r="F126" s="203">
        <v>40</v>
      </c>
      <c r="G126" s="203">
        <v>66.45</v>
      </c>
      <c r="H126" s="203" t="s">
        <v>53</v>
      </c>
      <c r="I126" s="203" t="str">
        <f>VLOOKUP(H126,Sheet4!A:B,2,)</f>
        <v>polish</v>
      </c>
      <c r="J126" s="205">
        <f>4-4</f>
        <v>0</v>
      </c>
    </row>
    <row r="127" s="92" customFormat="1" ht="22" customHeight="1" spans="1:10">
      <c r="A127" s="224"/>
      <c r="B127" s="202" t="s">
        <v>1192</v>
      </c>
      <c r="C127" s="203" t="s">
        <v>1147</v>
      </c>
      <c r="D127" s="203" t="s">
        <v>12</v>
      </c>
      <c r="E127" s="203" t="s">
        <v>208</v>
      </c>
      <c r="F127" s="203">
        <v>38</v>
      </c>
      <c r="G127" s="203">
        <v>66.56</v>
      </c>
      <c r="H127" s="203" t="s">
        <v>53</v>
      </c>
      <c r="I127" s="203" t="str">
        <f>VLOOKUP(H127,Sheet4!A:B,2,)</f>
        <v>polish</v>
      </c>
      <c r="J127" s="205">
        <f>4-4+8+4-4-4+4-4-4+8-4</f>
        <v>4</v>
      </c>
    </row>
    <row r="128" s="92" customFormat="1" ht="22" customHeight="1" spans="1:10">
      <c r="A128" s="224"/>
      <c r="B128" s="202" t="s">
        <v>1193</v>
      </c>
      <c r="C128" s="203" t="s">
        <v>1147</v>
      </c>
      <c r="D128" s="203" t="s">
        <v>23</v>
      </c>
      <c r="E128" s="203" t="s">
        <v>208</v>
      </c>
      <c r="F128" s="203">
        <v>32</v>
      </c>
      <c r="G128" s="203">
        <v>66.56</v>
      </c>
      <c r="H128" s="203" t="s">
        <v>53</v>
      </c>
      <c r="I128" s="203" t="str">
        <f>VLOOKUP(H128,Sheet4!A:B,2,)</f>
        <v>polish</v>
      </c>
      <c r="J128" s="205">
        <f>2+2-2-2+4-2-2+2-2+2-2+2-2+4-2+4-2-2+4+2-2-2-2-2</f>
        <v>0</v>
      </c>
    </row>
    <row r="129" s="92" customFormat="1" ht="22" customHeight="1" spans="1:10">
      <c r="A129" s="224"/>
      <c r="B129" s="202" t="s">
        <v>1193</v>
      </c>
      <c r="C129" s="203" t="s">
        <v>1147</v>
      </c>
      <c r="D129" s="203" t="s">
        <v>482</v>
      </c>
      <c r="E129" s="203" t="s">
        <v>208</v>
      </c>
      <c r="F129" s="203">
        <v>40</v>
      </c>
      <c r="G129" s="203">
        <v>66.56</v>
      </c>
      <c r="H129" s="203" t="s">
        <v>53</v>
      </c>
      <c r="I129" s="203" t="str">
        <f>VLOOKUP(H129,Sheet4!A:B,2,)</f>
        <v>polish</v>
      </c>
      <c r="J129" s="205">
        <f>2+2-2-2+4-2-2+2-2+2-2+2-2+4-2+4-2-2+4+2-2-2-2-2</f>
        <v>0</v>
      </c>
    </row>
    <row r="130" s="92" customFormat="1" ht="22" customHeight="1" spans="1:10">
      <c r="A130" s="224"/>
      <c r="B130" s="202" t="s">
        <v>1194</v>
      </c>
      <c r="C130" s="203" t="s">
        <v>1147</v>
      </c>
      <c r="D130" s="203" t="s">
        <v>29</v>
      </c>
      <c r="E130" s="203" t="s">
        <v>208</v>
      </c>
      <c r="F130" s="203">
        <v>36</v>
      </c>
      <c r="G130" s="203">
        <v>66.56</v>
      </c>
      <c r="H130" s="203" t="s">
        <v>53</v>
      </c>
      <c r="I130" s="203" t="str">
        <f>VLOOKUP(H130,Sheet4!A:B,2,)</f>
        <v>polish</v>
      </c>
      <c r="J130" s="205">
        <f>2</f>
        <v>2</v>
      </c>
    </row>
    <row r="131" s="92" customFormat="1" ht="22" customHeight="1" spans="1:10">
      <c r="A131" s="226"/>
      <c r="B131" s="233" t="s">
        <v>1194</v>
      </c>
      <c r="C131" s="207" t="s">
        <v>1147</v>
      </c>
      <c r="D131" s="207" t="s">
        <v>225</v>
      </c>
      <c r="E131" s="207" t="s">
        <v>208</v>
      </c>
      <c r="F131" s="207">
        <v>43</v>
      </c>
      <c r="G131" s="207">
        <v>66.56</v>
      </c>
      <c r="H131" s="207" t="s">
        <v>53</v>
      </c>
      <c r="I131" s="207" t="str">
        <f>VLOOKUP(H131,Sheet4!A:B,2,)</f>
        <v>polish</v>
      </c>
      <c r="J131" s="227">
        <f>2</f>
        <v>2</v>
      </c>
    </row>
    <row r="132" s="92" customFormat="1" ht="29.1" customHeight="1" spans="1:10">
      <c r="A132" s="224"/>
      <c r="B132" s="202" t="s">
        <v>1195</v>
      </c>
      <c r="C132" s="203" t="s">
        <v>1147</v>
      </c>
      <c r="D132" s="203" t="s">
        <v>58</v>
      </c>
      <c r="E132" s="203" t="s">
        <v>208</v>
      </c>
      <c r="F132" s="203">
        <v>36</v>
      </c>
      <c r="G132" s="203">
        <v>66.56</v>
      </c>
      <c r="H132" s="203" t="s">
        <v>53</v>
      </c>
      <c r="I132" s="203" t="str">
        <f>VLOOKUP(H132,Sheet4!A:B,2,)</f>
        <v>polish</v>
      </c>
      <c r="J132" s="205">
        <f>4-4</f>
        <v>0</v>
      </c>
    </row>
    <row r="133" s="92" customFormat="1" ht="21.95" customHeight="1" spans="1:10">
      <c r="A133" s="230"/>
      <c r="B133" s="202" t="s">
        <v>1196</v>
      </c>
      <c r="C133" s="203" t="s">
        <v>1147</v>
      </c>
      <c r="D133" s="203" t="s">
        <v>23</v>
      </c>
      <c r="E133" s="203" t="s">
        <v>208</v>
      </c>
      <c r="F133" s="203">
        <v>32</v>
      </c>
      <c r="G133" s="203">
        <v>66.56</v>
      </c>
      <c r="H133" s="203" t="s">
        <v>53</v>
      </c>
      <c r="I133" s="203" t="str">
        <f>VLOOKUP(H133,Sheet4!A:B,2,)</f>
        <v>polish</v>
      </c>
      <c r="J133" s="205">
        <f>4+2</f>
        <v>6</v>
      </c>
    </row>
    <row r="134" s="92" customFormat="1" ht="24" customHeight="1" spans="1:10">
      <c r="A134" s="230"/>
      <c r="B134" s="202" t="s">
        <v>1196</v>
      </c>
      <c r="C134" s="203" t="s">
        <v>1147</v>
      </c>
      <c r="D134" s="203" t="s">
        <v>482</v>
      </c>
      <c r="E134" s="203" t="s">
        <v>208</v>
      </c>
      <c r="F134" s="203">
        <v>40</v>
      </c>
      <c r="G134" s="203">
        <v>66.56</v>
      </c>
      <c r="H134" s="203" t="s">
        <v>53</v>
      </c>
      <c r="I134" s="203" t="str">
        <f>VLOOKUP(H134,Sheet4!A:B,2,)</f>
        <v>polish</v>
      </c>
      <c r="J134" s="205">
        <v>2</v>
      </c>
    </row>
    <row r="135" s="92" customFormat="1" ht="23.1" customHeight="1" spans="1:10">
      <c r="A135" s="230"/>
      <c r="B135" s="202" t="s">
        <v>1197</v>
      </c>
      <c r="C135" s="203" t="s">
        <v>1147</v>
      </c>
      <c r="D135" s="203" t="s">
        <v>29</v>
      </c>
      <c r="E135" s="203" t="s">
        <v>208</v>
      </c>
      <c r="F135" s="203">
        <v>32</v>
      </c>
      <c r="G135" s="203">
        <v>66.56</v>
      </c>
      <c r="H135" s="203" t="s">
        <v>53</v>
      </c>
      <c r="I135" s="203" t="str">
        <f>VLOOKUP(H135,Sheet4!A:B,2,)</f>
        <v>polish</v>
      </c>
      <c r="J135" s="205">
        <f>6-2-2-2</f>
        <v>0</v>
      </c>
    </row>
    <row r="136" s="92" customFormat="1" ht="24" customHeight="1" spans="1:10">
      <c r="A136" s="250"/>
      <c r="B136" s="233" t="s">
        <v>1197</v>
      </c>
      <c r="C136" s="207" t="s">
        <v>1147</v>
      </c>
      <c r="D136" s="207" t="s">
        <v>225</v>
      </c>
      <c r="E136" s="207" t="s">
        <v>208</v>
      </c>
      <c r="F136" s="207">
        <v>40</v>
      </c>
      <c r="G136" s="207">
        <v>66.56</v>
      </c>
      <c r="H136" s="207" t="s">
        <v>53</v>
      </c>
      <c r="I136" s="207" t="str">
        <f>VLOOKUP(H136,Sheet4!A:B,2,)</f>
        <v>polish</v>
      </c>
      <c r="J136" s="227">
        <f>6-2-2-2</f>
        <v>0</v>
      </c>
    </row>
    <row r="137" s="92" customFormat="1" ht="18" customHeight="1" spans="1:10">
      <c r="A137" s="224"/>
      <c r="B137" s="202" t="s">
        <v>1198</v>
      </c>
      <c r="C137" s="203" t="s">
        <v>1147</v>
      </c>
      <c r="D137" s="203" t="s">
        <v>128</v>
      </c>
      <c r="E137" s="203" t="s">
        <v>208</v>
      </c>
      <c r="F137" s="203" t="s">
        <v>553</v>
      </c>
      <c r="G137" s="203">
        <v>66.45</v>
      </c>
      <c r="H137" s="203" t="s">
        <v>53</v>
      </c>
      <c r="I137" s="203" t="str">
        <f>VLOOKUP(H137,Sheet4!A:B,2,)</f>
        <v>polish</v>
      </c>
      <c r="J137" s="205">
        <f>8+12-4-4-4+4-4-4-4+12-4-4-1+4-3-1+4-4</f>
        <v>3</v>
      </c>
    </row>
    <row r="138" s="92" customFormat="1" ht="18" customHeight="1" spans="1:10">
      <c r="A138" s="224"/>
      <c r="B138" s="202" t="s">
        <v>1199</v>
      </c>
      <c r="C138" s="203" t="s">
        <v>1147</v>
      </c>
      <c r="D138" s="203" t="s">
        <v>12</v>
      </c>
      <c r="E138" s="203" t="s">
        <v>208</v>
      </c>
      <c r="F138" s="203">
        <v>38</v>
      </c>
      <c r="G138" s="203">
        <v>66.45</v>
      </c>
      <c r="H138" s="203" t="s">
        <v>53</v>
      </c>
      <c r="I138" s="203" t="str">
        <f>VLOOKUP(H138,Sheet4!A:B,2,)</f>
        <v>polish</v>
      </c>
      <c r="J138" s="205">
        <f>9-4+8-4+12-4-4-4-4-4+12-4-4</f>
        <v>5</v>
      </c>
    </row>
    <row r="139" s="92" customFormat="1" ht="18" customHeight="1" spans="1:10">
      <c r="A139" s="224"/>
      <c r="B139" s="202" t="s">
        <v>1200</v>
      </c>
      <c r="C139" s="203" t="s">
        <v>1147</v>
      </c>
      <c r="D139" s="203" t="s">
        <v>44</v>
      </c>
      <c r="E139" s="203" t="s">
        <v>208</v>
      </c>
      <c r="F139" s="203">
        <v>40</v>
      </c>
      <c r="G139" s="203">
        <v>66.45</v>
      </c>
      <c r="H139" s="203" t="s">
        <v>53</v>
      </c>
      <c r="I139" s="203" t="str">
        <f>VLOOKUP(H139,Sheet4!A:B,2,)</f>
        <v>polish</v>
      </c>
      <c r="J139" s="228">
        <v>0</v>
      </c>
    </row>
    <row r="140" s="92" customFormat="1" ht="18" customHeight="1" spans="1:10">
      <c r="A140" s="224"/>
      <c r="B140" s="202" t="s">
        <v>1201</v>
      </c>
      <c r="C140" s="203" t="s">
        <v>1147</v>
      </c>
      <c r="D140" s="203" t="s">
        <v>23</v>
      </c>
      <c r="E140" s="203" t="s">
        <v>208</v>
      </c>
      <c r="F140" s="203">
        <v>32</v>
      </c>
      <c r="G140" s="203">
        <v>66.56</v>
      </c>
      <c r="H140" s="203" t="s">
        <v>53</v>
      </c>
      <c r="I140" s="203" t="str">
        <f>VLOOKUP(H140,Sheet4!A:B,2,)</f>
        <v>polish</v>
      </c>
      <c r="J140" s="205">
        <f>7-2-2-2-1+10-4-2-2-2+4-4+8-2+4-4+2+6-2-2-4-2-2-2+2+6-2-2-2+8-2-4-2-2+6+4-4-2</f>
        <v>4</v>
      </c>
    </row>
    <row r="141" s="92" customFormat="1" ht="18" customHeight="1" spans="1:10">
      <c r="A141" s="224"/>
      <c r="B141" s="202" t="s">
        <v>1201</v>
      </c>
      <c r="C141" s="203" t="s">
        <v>1147</v>
      </c>
      <c r="D141" s="203" t="s">
        <v>482</v>
      </c>
      <c r="E141" s="203" t="s">
        <v>208</v>
      </c>
      <c r="F141" s="203">
        <v>40</v>
      </c>
      <c r="G141" s="203">
        <v>66.56</v>
      </c>
      <c r="H141" s="203" t="s">
        <v>53</v>
      </c>
      <c r="I141" s="203" t="str">
        <f>VLOOKUP(H141,Sheet4!A:B,2,)</f>
        <v>polish</v>
      </c>
      <c r="J141" s="205">
        <f>2-2+10-2-2-2+4-2-2+6-2-2-2-2+2-2-2+4-2-2+2-2+2-2+2-2</f>
        <v>0</v>
      </c>
    </row>
    <row r="142" s="92" customFormat="1" ht="18" customHeight="1" spans="1:10">
      <c r="A142" s="224"/>
      <c r="B142" s="202" t="s">
        <v>1202</v>
      </c>
      <c r="C142" s="203" t="s">
        <v>1147</v>
      </c>
      <c r="D142" s="203" t="s">
        <v>29</v>
      </c>
      <c r="E142" s="203" t="s">
        <v>208</v>
      </c>
      <c r="F142" s="203">
        <v>32</v>
      </c>
      <c r="G142" s="203">
        <v>66.56</v>
      </c>
      <c r="H142" s="203" t="s">
        <v>53</v>
      </c>
      <c r="I142" s="203" t="str">
        <f>VLOOKUP(H142,Sheet4!A:B,2,)</f>
        <v>polish</v>
      </c>
      <c r="J142" s="228">
        <f>6-2-2-2+6-2-2-2+2+2-2-2+6-2-2-2+6-2-2-2+2+2-2</f>
        <v>2</v>
      </c>
    </row>
    <row r="143" s="92" customFormat="1" ht="18" customHeight="1" spans="1:10">
      <c r="A143" s="226"/>
      <c r="B143" s="233" t="s">
        <v>1202</v>
      </c>
      <c r="C143" s="207" t="s">
        <v>1147</v>
      </c>
      <c r="D143" s="207" t="s">
        <v>225</v>
      </c>
      <c r="E143" s="207" t="s">
        <v>208</v>
      </c>
      <c r="F143" s="207">
        <v>40</v>
      </c>
      <c r="G143" s="207">
        <v>66.56</v>
      </c>
      <c r="H143" s="207" t="s">
        <v>53</v>
      </c>
      <c r="I143" s="207" t="str">
        <f>VLOOKUP(H143,Sheet4!A:B,2,)</f>
        <v>polish</v>
      </c>
      <c r="J143" s="251">
        <f>6-2-2-2+6-2-2-2+2+2-2-2+6-2-2-2+6-2-2-2+2-1+1+2-2</f>
        <v>2</v>
      </c>
    </row>
    <row r="144" s="92" customFormat="1" ht="19" customHeight="1" spans="1:10">
      <c r="A144" s="224"/>
      <c r="B144" s="202" t="s">
        <v>1203</v>
      </c>
      <c r="C144" s="203" t="s">
        <v>1147</v>
      </c>
      <c r="D144" s="203" t="s">
        <v>128</v>
      </c>
      <c r="E144" s="252" t="s">
        <v>208</v>
      </c>
      <c r="F144" s="203" t="s">
        <v>370</v>
      </c>
      <c r="G144" s="252">
        <v>66.56</v>
      </c>
      <c r="H144" s="204" t="s">
        <v>21</v>
      </c>
      <c r="I144" s="204" t="str">
        <f>VLOOKUP(H144,Sheet4!A:B,2,)</f>
        <v>Black Machine Face</v>
      </c>
      <c r="J144" s="205">
        <f>4-4+20-4-4-4+16-4-4-4-4+20-4+12-4-4-8-4-4-4-4+4-4-4+20+4+4-4-4-4-4-4-4+12-4-4+12-4-4-4-4-4+12-4-4-4+4+8-4-4-4+8-1-4+5+16</f>
        <v>24</v>
      </c>
    </row>
    <row r="145" s="92" customFormat="1" ht="19" customHeight="1" spans="1:10">
      <c r="A145" s="224"/>
      <c r="B145" s="202" t="s">
        <v>1204</v>
      </c>
      <c r="C145" s="203" t="s">
        <v>1147</v>
      </c>
      <c r="D145" s="203" t="s">
        <v>12</v>
      </c>
      <c r="E145" s="252" t="s">
        <v>208</v>
      </c>
      <c r="F145" s="203">
        <v>38</v>
      </c>
      <c r="G145" s="252">
        <v>66.56</v>
      </c>
      <c r="H145" s="204" t="s">
        <v>21</v>
      </c>
      <c r="I145" s="204" t="str">
        <f>VLOOKUP(H145,Sheet4!A:B,2,)</f>
        <v>Black Machine Face</v>
      </c>
      <c r="J145" s="228">
        <f>8-1</f>
        <v>7</v>
      </c>
    </row>
    <row r="146" s="92" customFormat="1" ht="19" customHeight="1" spans="1:10">
      <c r="A146" s="224"/>
      <c r="B146" s="202" t="s">
        <v>1205</v>
      </c>
      <c r="C146" s="203" t="s">
        <v>1147</v>
      </c>
      <c r="D146" s="203" t="s">
        <v>44</v>
      </c>
      <c r="E146" s="252" t="s">
        <v>208</v>
      </c>
      <c r="F146" s="203">
        <v>40</v>
      </c>
      <c r="G146" s="252">
        <v>66.56</v>
      </c>
      <c r="H146" s="204" t="s">
        <v>21</v>
      </c>
      <c r="I146" s="204" t="str">
        <f>VLOOKUP(H146,Sheet4!A:B,2,)</f>
        <v>Black Machine Face</v>
      </c>
      <c r="J146" s="228">
        <f>6+4-1-2-4+4-4+12-4-1+4-1-4-4-4+4+4-2</f>
        <v>7</v>
      </c>
    </row>
    <row r="147" s="92" customFormat="1" ht="19" customHeight="1" spans="1:10">
      <c r="A147" s="224"/>
      <c r="B147" s="202" t="s">
        <v>1206</v>
      </c>
      <c r="C147" s="203" t="s">
        <v>1147</v>
      </c>
      <c r="D147" s="203" t="s">
        <v>23</v>
      </c>
      <c r="E147" s="252" t="s">
        <v>208</v>
      </c>
      <c r="F147" s="203">
        <v>36</v>
      </c>
      <c r="G147" s="252">
        <v>66.56</v>
      </c>
      <c r="H147" s="204" t="s">
        <v>21</v>
      </c>
      <c r="I147" s="204" t="str">
        <f>VLOOKUP(H147,Sheet4!A:B,2,)</f>
        <v>Black Machine Face</v>
      </c>
      <c r="J147" s="205">
        <f>5-1-2-2+2-2+2-2+2-2+6-1-2-2</f>
        <v>1</v>
      </c>
    </row>
    <row r="148" s="92" customFormat="1" ht="19" customHeight="1" spans="1:10">
      <c r="A148" s="224"/>
      <c r="B148" s="202" t="s">
        <v>1206</v>
      </c>
      <c r="C148" s="203" t="s">
        <v>1147</v>
      </c>
      <c r="D148" s="203" t="s">
        <v>482</v>
      </c>
      <c r="E148" s="252" t="s">
        <v>208</v>
      </c>
      <c r="F148" s="203">
        <v>43</v>
      </c>
      <c r="G148" s="252">
        <v>66.56</v>
      </c>
      <c r="H148" s="204" t="s">
        <v>21</v>
      </c>
      <c r="I148" s="204" t="str">
        <f>VLOOKUP(H148,Sheet4!A:B,2,)</f>
        <v>Black Machine Face</v>
      </c>
      <c r="J148" s="228">
        <f>4-2-2</f>
        <v>0</v>
      </c>
    </row>
    <row r="149" s="92" customFormat="1" ht="19" customHeight="1" spans="1:10">
      <c r="A149" s="224"/>
      <c r="B149" s="202" t="s">
        <v>1207</v>
      </c>
      <c r="C149" s="203" t="s">
        <v>1147</v>
      </c>
      <c r="D149" s="203" t="s">
        <v>23</v>
      </c>
      <c r="E149" s="252" t="s">
        <v>208</v>
      </c>
      <c r="F149" s="203">
        <v>36</v>
      </c>
      <c r="G149" s="252">
        <v>66.56</v>
      </c>
      <c r="H149" s="204" t="s">
        <v>21</v>
      </c>
      <c r="I149" s="204" t="str">
        <f>VLOOKUP(H149,Sheet4!A:B,2,)</f>
        <v>Black Machine Face</v>
      </c>
      <c r="J149" s="205">
        <f>2-2+2+4</f>
        <v>6</v>
      </c>
    </row>
    <row r="150" s="92" customFormat="1" ht="19" customHeight="1" spans="1:10">
      <c r="A150" s="224"/>
      <c r="B150" s="202" t="s">
        <v>1207</v>
      </c>
      <c r="C150" s="203" t="s">
        <v>1147</v>
      </c>
      <c r="D150" s="203" t="s">
        <v>482</v>
      </c>
      <c r="E150" s="252" t="s">
        <v>208</v>
      </c>
      <c r="F150" s="203">
        <v>43</v>
      </c>
      <c r="G150" s="252">
        <v>66.56</v>
      </c>
      <c r="H150" s="204" t="s">
        <v>21</v>
      </c>
      <c r="I150" s="204" t="str">
        <f>VLOOKUP(H150,Sheet4!A:B,2,)</f>
        <v>Black Machine Face</v>
      </c>
      <c r="J150" s="228">
        <f>2-2+2+4</f>
        <v>6</v>
      </c>
    </row>
    <row r="151" s="92" customFormat="1" ht="19" customHeight="1" spans="1:10">
      <c r="A151" s="224"/>
      <c r="B151" s="202" t="s">
        <v>1207</v>
      </c>
      <c r="C151" s="203" t="s">
        <v>1147</v>
      </c>
      <c r="D151" s="203" t="s">
        <v>482</v>
      </c>
      <c r="E151" s="252" t="s">
        <v>208</v>
      </c>
      <c r="F151" s="203">
        <v>43.5</v>
      </c>
      <c r="G151" s="252">
        <v>66.56</v>
      </c>
      <c r="H151" s="204" t="s">
        <v>21</v>
      </c>
      <c r="I151" s="204" t="str">
        <f>VLOOKUP(H151,Sheet4!A:B,2,)</f>
        <v>Black Machine Face</v>
      </c>
      <c r="J151" s="228">
        <f>5-4</f>
        <v>1</v>
      </c>
    </row>
    <row r="152" s="92" customFormat="1" ht="19" customHeight="1" spans="1:10">
      <c r="A152" s="224"/>
      <c r="B152" s="202" t="s">
        <v>1208</v>
      </c>
      <c r="C152" s="203" t="s">
        <v>1147</v>
      </c>
      <c r="D152" s="203" t="s">
        <v>29</v>
      </c>
      <c r="E152" s="252" t="s">
        <v>208</v>
      </c>
      <c r="F152" s="203" t="s">
        <v>1209</v>
      </c>
      <c r="G152" s="252">
        <v>66.56</v>
      </c>
      <c r="H152" s="204" t="s">
        <v>36</v>
      </c>
      <c r="I152" s="204" t="str">
        <f>VLOOKUP(H152,Sheet4!A:B,2,)</f>
        <v>Black Machine Face</v>
      </c>
      <c r="J152" s="205">
        <f>2+2-2-2+2+2-1+2-2-2+2-2+4-2-2</f>
        <v>1</v>
      </c>
    </row>
    <row r="153" s="92" customFormat="1" ht="19" customHeight="1" spans="1:10">
      <c r="A153" s="224"/>
      <c r="B153" s="202" t="s">
        <v>1208</v>
      </c>
      <c r="C153" s="203" t="s">
        <v>1147</v>
      </c>
      <c r="D153" s="203" t="s">
        <v>225</v>
      </c>
      <c r="E153" s="252" t="s">
        <v>208</v>
      </c>
      <c r="F153" s="203">
        <v>40</v>
      </c>
      <c r="G153" s="252">
        <v>66.56</v>
      </c>
      <c r="H153" s="204" t="s">
        <v>36</v>
      </c>
      <c r="I153" s="204" t="str">
        <f>VLOOKUP(H153,Sheet4!A:B,2,)</f>
        <v>Black Machine Face</v>
      </c>
      <c r="J153" s="205">
        <f>2+2-2-2+2+2-2+2-2-2+2-2+4-2-2</f>
        <v>0</v>
      </c>
    </row>
    <row r="154" s="92" customFormat="1" ht="19" customHeight="1" spans="1:10">
      <c r="A154" s="224"/>
      <c r="B154" s="202" t="s">
        <v>1210</v>
      </c>
      <c r="C154" s="203" t="s">
        <v>1147</v>
      </c>
      <c r="D154" s="203" t="s">
        <v>29</v>
      </c>
      <c r="E154" s="252" t="s">
        <v>208</v>
      </c>
      <c r="F154" s="203">
        <v>37</v>
      </c>
      <c r="G154" s="252">
        <v>66.56</v>
      </c>
      <c r="H154" s="204" t="s">
        <v>36</v>
      </c>
      <c r="I154" s="204" t="str">
        <f>VLOOKUP(H154,Sheet4!A:B,2,)</f>
        <v>Black Machine Face</v>
      </c>
      <c r="J154" s="205">
        <v>2</v>
      </c>
    </row>
    <row r="155" s="92" customFormat="1" ht="19" customHeight="1" spans="1:10">
      <c r="A155" s="226"/>
      <c r="B155" s="233" t="s">
        <v>1210</v>
      </c>
      <c r="C155" s="207" t="s">
        <v>1147</v>
      </c>
      <c r="D155" s="207" t="s">
        <v>225</v>
      </c>
      <c r="E155" s="215" t="s">
        <v>208</v>
      </c>
      <c r="F155" s="207">
        <v>37</v>
      </c>
      <c r="G155" s="215">
        <v>66.56</v>
      </c>
      <c r="H155" s="232" t="s">
        <v>36</v>
      </c>
      <c r="I155" s="232" t="str">
        <f>VLOOKUP(H155,Sheet4!A:B,2,)</f>
        <v>Black Machine Face</v>
      </c>
      <c r="J155" s="227">
        <v>2</v>
      </c>
    </row>
    <row r="156" s="92" customFormat="1" ht="24" customHeight="1" spans="1:10">
      <c r="A156" s="224"/>
      <c r="B156" s="202" t="s">
        <v>1211</v>
      </c>
      <c r="C156" s="203" t="s">
        <v>1147</v>
      </c>
      <c r="D156" s="203" t="s">
        <v>128</v>
      </c>
      <c r="E156" s="203" t="s">
        <v>208</v>
      </c>
      <c r="F156" s="203">
        <v>38</v>
      </c>
      <c r="G156" s="203">
        <v>66.5</v>
      </c>
      <c r="H156" s="203" t="s">
        <v>53</v>
      </c>
      <c r="I156" s="203" t="str">
        <f>VLOOKUP(H156,Sheet4!A:B,2,)</f>
        <v>polish</v>
      </c>
      <c r="J156" s="205">
        <f>4+4-4+4</f>
        <v>8</v>
      </c>
    </row>
    <row r="157" s="92" customFormat="1" ht="24" customHeight="1" spans="1:10">
      <c r="A157" s="224"/>
      <c r="B157" s="202" t="s">
        <v>1212</v>
      </c>
      <c r="C157" s="203" t="s">
        <v>1147</v>
      </c>
      <c r="D157" s="203" t="s">
        <v>12</v>
      </c>
      <c r="E157" s="203" t="s">
        <v>208</v>
      </c>
      <c r="F157" s="203">
        <v>38</v>
      </c>
      <c r="G157" s="203">
        <v>66.5</v>
      </c>
      <c r="H157" s="203" t="s">
        <v>53</v>
      </c>
      <c r="I157" s="203" t="str">
        <f>VLOOKUP(H157,Sheet4!A:B,2,)</f>
        <v>polish</v>
      </c>
      <c r="J157" s="205">
        <f>4-4+8-4-4+8-4+4-4-4</f>
        <v>0</v>
      </c>
    </row>
    <row r="158" s="92" customFormat="1" ht="24" customHeight="1" spans="1:10">
      <c r="A158" s="224"/>
      <c r="B158" s="202" t="s">
        <v>1213</v>
      </c>
      <c r="C158" s="203" t="s">
        <v>1147</v>
      </c>
      <c r="D158" s="203" t="s">
        <v>23</v>
      </c>
      <c r="E158" s="203" t="s">
        <v>208</v>
      </c>
      <c r="F158" s="203">
        <v>36</v>
      </c>
      <c r="G158" s="203">
        <v>66.5</v>
      </c>
      <c r="H158" s="203" t="s">
        <v>53</v>
      </c>
      <c r="I158" s="203" t="str">
        <f>VLOOKUP(H158,Sheet4!A:B,2,)</f>
        <v>polish</v>
      </c>
      <c r="J158" s="205">
        <v>0</v>
      </c>
    </row>
    <row r="159" s="92" customFormat="1" ht="24" customHeight="1" spans="1:10">
      <c r="A159" s="224"/>
      <c r="B159" s="202" t="s">
        <v>1213</v>
      </c>
      <c r="C159" s="203" t="s">
        <v>1147</v>
      </c>
      <c r="D159" s="203" t="s">
        <v>482</v>
      </c>
      <c r="E159" s="203" t="s">
        <v>208</v>
      </c>
      <c r="F159" s="203">
        <v>43</v>
      </c>
      <c r="G159" s="203">
        <v>66.5</v>
      </c>
      <c r="H159" s="203" t="s">
        <v>53</v>
      </c>
      <c r="I159" s="203" t="str">
        <f>VLOOKUP(H159,Sheet4!A:B,2,)</f>
        <v>polish</v>
      </c>
      <c r="J159" s="205">
        <v>0</v>
      </c>
    </row>
    <row r="160" s="92" customFormat="1" ht="24" customHeight="1" spans="1:10">
      <c r="A160" s="224"/>
      <c r="B160" s="202" t="s">
        <v>1214</v>
      </c>
      <c r="C160" s="203" t="s">
        <v>1147</v>
      </c>
      <c r="D160" s="203" t="s">
        <v>29</v>
      </c>
      <c r="E160" s="203" t="s">
        <v>208</v>
      </c>
      <c r="F160" s="203">
        <v>32</v>
      </c>
      <c r="G160" s="203">
        <v>66.5</v>
      </c>
      <c r="H160" s="203" t="s">
        <v>53</v>
      </c>
      <c r="I160" s="203" t="str">
        <f>VLOOKUP(H160,Sheet4!A:B,2,)</f>
        <v>polish</v>
      </c>
      <c r="J160" s="205">
        <f>2-2+2+2-2-2</f>
        <v>0</v>
      </c>
    </row>
    <row r="161" s="92" customFormat="1" ht="24" customHeight="1" spans="1:10">
      <c r="A161" s="226"/>
      <c r="B161" s="233" t="s">
        <v>1214</v>
      </c>
      <c r="C161" s="207" t="s">
        <v>1147</v>
      </c>
      <c r="D161" s="207" t="s">
        <v>225</v>
      </c>
      <c r="E161" s="207" t="s">
        <v>208</v>
      </c>
      <c r="F161" s="207">
        <v>40</v>
      </c>
      <c r="G161" s="207">
        <v>66.5</v>
      </c>
      <c r="H161" s="207" t="s">
        <v>53</v>
      </c>
      <c r="I161" s="207" t="str">
        <f>VLOOKUP(H161,Sheet4!A:B,2,)</f>
        <v>polish</v>
      </c>
      <c r="J161" s="227">
        <f>2-2+2+2-2-2</f>
        <v>0</v>
      </c>
    </row>
    <row r="162" s="92" customFormat="1" ht="24" customHeight="1" spans="1:10">
      <c r="A162" s="224"/>
      <c r="B162" s="202" t="s">
        <v>1215</v>
      </c>
      <c r="C162" s="203" t="s">
        <v>1147</v>
      </c>
      <c r="D162" s="203" t="s">
        <v>12</v>
      </c>
      <c r="E162" s="203" t="s">
        <v>208</v>
      </c>
      <c r="F162" s="203">
        <v>38</v>
      </c>
      <c r="G162" s="203">
        <v>66.5</v>
      </c>
      <c r="H162" s="203" t="s">
        <v>21</v>
      </c>
      <c r="I162" s="203" t="str">
        <f>VLOOKUP(H162,Sheet4!A:B,2,)</f>
        <v>Black Machine Face</v>
      </c>
      <c r="J162" s="205">
        <f>8+4-4-4-4+4-4+4-4+4+4-4+4-4-4+8-4</f>
        <v>4</v>
      </c>
    </row>
    <row r="163" s="92" customFormat="1" ht="24" customHeight="1" spans="1:10">
      <c r="A163" s="230"/>
      <c r="B163" s="202" t="s">
        <v>1216</v>
      </c>
      <c r="C163" s="203" t="s">
        <v>1147</v>
      </c>
      <c r="D163" s="203" t="s">
        <v>23</v>
      </c>
      <c r="E163" s="203" t="s">
        <v>208</v>
      </c>
      <c r="F163" s="203">
        <v>32</v>
      </c>
      <c r="G163" s="203">
        <v>66.5</v>
      </c>
      <c r="H163" s="203" t="s">
        <v>21</v>
      </c>
      <c r="I163" s="203" t="str">
        <f>VLOOKUP(H163,Sheet4!A:B,2,)</f>
        <v>Black Machine Face</v>
      </c>
      <c r="J163" s="228">
        <f>2-2+2+2-2-2+2-2+2-2+2-2+2+2</f>
        <v>4</v>
      </c>
    </row>
    <row r="164" s="92" customFormat="1" ht="24" customHeight="1" spans="1:10">
      <c r="A164" s="230"/>
      <c r="B164" s="202" t="s">
        <v>1216</v>
      </c>
      <c r="C164" s="203" t="s">
        <v>1147</v>
      </c>
      <c r="D164" s="203" t="s">
        <v>482</v>
      </c>
      <c r="E164" s="203" t="s">
        <v>208</v>
      </c>
      <c r="F164" s="203">
        <v>40</v>
      </c>
      <c r="G164" s="203">
        <v>66.5</v>
      </c>
      <c r="H164" s="203" t="s">
        <v>21</v>
      </c>
      <c r="I164" s="203" t="str">
        <f>VLOOKUP(H164,Sheet4!A:B,2,)</f>
        <v>Black Machine Face</v>
      </c>
      <c r="J164" s="228">
        <f>2-2+2+2-2-2+2-2+2-2+2-2+2+2</f>
        <v>4</v>
      </c>
    </row>
    <row r="165" s="92" customFormat="1" ht="24" customHeight="1" spans="1:10">
      <c r="A165" s="224"/>
      <c r="B165" s="202" t="s">
        <v>1217</v>
      </c>
      <c r="C165" s="203" t="s">
        <v>1147</v>
      </c>
      <c r="D165" s="203" t="s">
        <v>29</v>
      </c>
      <c r="E165" s="203" t="s">
        <v>208</v>
      </c>
      <c r="F165" s="203">
        <v>32</v>
      </c>
      <c r="G165" s="203">
        <v>66.5</v>
      </c>
      <c r="H165" s="203" t="s">
        <v>21</v>
      </c>
      <c r="I165" s="203" t="str">
        <f>VLOOKUP(H165,Sheet4!A:B,2,)</f>
        <v>Black Machine Face</v>
      </c>
      <c r="J165" s="205">
        <f>2+2-2+2-2-2+2+2-2-2+4</f>
        <v>4</v>
      </c>
    </row>
    <row r="166" s="92" customFormat="1" ht="24" customHeight="1" spans="1:10">
      <c r="A166" s="224"/>
      <c r="B166" s="202" t="s">
        <v>1217</v>
      </c>
      <c r="C166" s="203" t="s">
        <v>1147</v>
      </c>
      <c r="D166" s="203" t="s">
        <v>225</v>
      </c>
      <c r="E166" s="203" t="s">
        <v>208</v>
      </c>
      <c r="F166" s="203">
        <v>40</v>
      </c>
      <c r="G166" s="203">
        <v>66.5</v>
      </c>
      <c r="H166" s="203" t="s">
        <v>21</v>
      </c>
      <c r="I166" s="203" t="str">
        <f>VLOOKUP(H166,Sheet4!A:B,2,)</f>
        <v>Black Machine Face</v>
      </c>
      <c r="J166" s="205">
        <f>2+2-2+2-2-2+2+2-2-2+4</f>
        <v>4</v>
      </c>
    </row>
    <row r="167" s="92" customFormat="1" ht="26" customHeight="1" spans="1:10">
      <c r="A167" s="29"/>
      <c r="B167" s="210" t="s">
        <v>1218</v>
      </c>
      <c r="C167" s="212" t="s">
        <v>1147</v>
      </c>
      <c r="D167" s="212" t="s">
        <v>12</v>
      </c>
      <c r="E167" s="212" t="s">
        <v>208</v>
      </c>
      <c r="F167" s="212">
        <v>38</v>
      </c>
      <c r="G167" s="212">
        <v>66.5</v>
      </c>
      <c r="H167" s="212" t="s">
        <v>53</v>
      </c>
      <c r="I167" s="212" t="str">
        <f>VLOOKUP(H167,Sheet4!A:B,2,)</f>
        <v>polish</v>
      </c>
      <c r="J167" s="253">
        <f>4-4+8-4+8-4-4-4+4-4</f>
        <v>0</v>
      </c>
    </row>
    <row r="168" s="92" customFormat="1" ht="26" customHeight="1" spans="1:10">
      <c r="B168" s="202" t="s">
        <v>1219</v>
      </c>
      <c r="C168" s="203" t="s">
        <v>1147</v>
      </c>
      <c r="D168" s="203" t="s">
        <v>23</v>
      </c>
      <c r="E168" s="203" t="s">
        <v>208</v>
      </c>
      <c r="F168" s="203">
        <v>32</v>
      </c>
      <c r="G168" s="203">
        <v>66.5</v>
      </c>
      <c r="H168" s="203" t="s">
        <v>53</v>
      </c>
      <c r="I168" s="203" t="str">
        <f>VLOOKUP(H168,Sheet4!A:B,2,)</f>
        <v>polish</v>
      </c>
      <c r="J168" s="228">
        <f>2+4+8-4-4-2+4-4-2+12-2+2-4-4+4-4+2+4-4-2-2-4+2-2+12+4-2-2-2-2+6+8-4-2-2-4-1-4+2-2-2+1+2+6+8-4-2-2-2-2-2-4+4+12</f>
        <v>18</v>
      </c>
    </row>
    <row r="169" s="92" customFormat="1" ht="26" customHeight="1" spans="1:10">
      <c r="B169" s="202" t="s">
        <v>1219</v>
      </c>
      <c r="C169" s="203" t="s">
        <v>1147</v>
      </c>
      <c r="D169" s="203" t="s">
        <v>482</v>
      </c>
      <c r="E169" s="203" t="s">
        <v>208</v>
      </c>
      <c r="F169" s="203">
        <v>40</v>
      </c>
      <c r="G169" s="203">
        <v>66.5</v>
      </c>
      <c r="H169" s="203" t="s">
        <v>53</v>
      </c>
      <c r="I169" s="203" t="str">
        <f>VLOOKUP(H169,Sheet4!A:B,2,)</f>
        <v>polish</v>
      </c>
      <c r="J169" s="228">
        <f>6-2-2+8-2+2+2-2-2-2-2+4-2-2-2-2+6-2-2+2-2-2+2+6-1-2-2-2+1+4</f>
        <v>6</v>
      </c>
    </row>
    <row r="170" s="92" customFormat="1" ht="26" customHeight="1" spans="1:10">
      <c r="B170" s="202" t="s">
        <v>1220</v>
      </c>
      <c r="C170" s="203" t="s">
        <v>1147</v>
      </c>
      <c r="D170" s="203" t="s">
        <v>29</v>
      </c>
      <c r="E170" s="203" t="s">
        <v>208</v>
      </c>
      <c r="F170" s="202">
        <v>32</v>
      </c>
      <c r="G170" s="203">
        <v>66.5</v>
      </c>
      <c r="H170" s="203" t="s">
        <v>53</v>
      </c>
      <c r="I170" s="203" t="str">
        <f>VLOOKUP(H170,Sheet4!A:B,2,)</f>
        <v>polish</v>
      </c>
      <c r="J170" s="205">
        <f>2-2+2-2+2+2-2-2+2+2-2-2+6-2-2-2+4-2-2+4-2+4-2-2-2+8+10-2-2-2-2-2+2-2-2-4+2-2-2+8-6+6+4-2-2-2</f>
        <v>6</v>
      </c>
    </row>
    <row r="171" s="92" customFormat="1" ht="26" customHeight="1" spans="1:10">
      <c r="B171" s="202" t="s">
        <v>1220</v>
      </c>
      <c r="C171" s="203" t="s">
        <v>1147</v>
      </c>
      <c r="D171" s="203" t="s">
        <v>225</v>
      </c>
      <c r="E171" s="203" t="s">
        <v>208</v>
      </c>
      <c r="F171" s="202">
        <v>40</v>
      </c>
      <c r="G171" s="203">
        <v>66.5</v>
      </c>
      <c r="H171" s="203" t="s">
        <v>53</v>
      </c>
      <c r="I171" s="203" t="str">
        <f>VLOOKUP(H171,Sheet4!A:B,2,)</f>
        <v>polish</v>
      </c>
      <c r="J171" s="205">
        <f>2-2+2-2+2+2-2-2+2+2-2-2+6-2-2-2+4-2-2+4-2+4-2-2-2+10-2-2-1+1-2+8-2-2+2-2-2-4+2-2-2+8-6+6+4-2-2-2</f>
        <v>6</v>
      </c>
    </row>
    <row r="172" s="92" customFormat="1" ht="26" customHeight="1" spans="1:10">
      <c r="B172" s="202" t="s">
        <v>1221</v>
      </c>
      <c r="C172" s="203" t="s">
        <v>1147</v>
      </c>
      <c r="D172" s="203" t="s">
        <v>29</v>
      </c>
      <c r="E172" s="203" t="s">
        <v>208</v>
      </c>
      <c r="F172" s="203">
        <v>32</v>
      </c>
      <c r="G172" s="203">
        <v>66.5</v>
      </c>
      <c r="H172" s="203" t="s">
        <v>16</v>
      </c>
      <c r="I172" s="203" t="str">
        <f>VLOOKUP(H172,Sheet4!A:B,2,)</f>
        <v>GLOSS BLACK</v>
      </c>
      <c r="J172" s="205">
        <f>6-4</f>
        <v>2</v>
      </c>
    </row>
    <row r="173" s="92" customFormat="1" ht="26" customHeight="1" spans="1:10">
      <c r="B173" s="202" t="s">
        <v>1221</v>
      </c>
      <c r="C173" s="203" t="s">
        <v>1147</v>
      </c>
      <c r="D173" s="203" t="s">
        <v>225</v>
      </c>
      <c r="E173" s="203" t="s">
        <v>208</v>
      </c>
      <c r="F173" s="203">
        <v>40</v>
      </c>
      <c r="G173" s="203">
        <v>66.5</v>
      </c>
      <c r="H173" s="203" t="s">
        <v>16</v>
      </c>
      <c r="I173" s="203" t="str">
        <f>VLOOKUP(H173,Sheet4!A:B,2,)</f>
        <v>GLOSS BLACK</v>
      </c>
      <c r="J173" s="205">
        <f>6-4</f>
        <v>2</v>
      </c>
    </row>
    <row r="174" s="92" customFormat="1" ht="26" customHeight="1" spans="1:10">
      <c r="B174" s="202" t="s">
        <v>1222</v>
      </c>
      <c r="C174" s="203" t="s">
        <v>1147</v>
      </c>
      <c r="D174" s="203" t="s">
        <v>31</v>
      </c>
      <c r="E174" s="203" t="s">
        <v>208</v>
      </c>
      <c r="F174" s="203">
        <v>36</v>
      </c>
      <c r="G174" s="203">
        <v>66.5</v>
      </c>
      <c r="H174" s="203" t="s">
        <v>53</v>
      </c>
      <c r="I174" s="203" t="str">
        <f>VLOOKUP(H174,Sheet4!A:B,2,)</f>
        <v>polish</v>
      </c>
      <c r="J174" s="205">
        <f>2-2+2-2+2+2-4+8-2+1+1-4</f>
        <v>4</v>
      </c>
    </row>
    <row r="175" s="92" customFormat="1" ht="26" customHeight="1" spans="1:10">
      <c r="A175" s="62"/>
      <c r="B175" s="233" t="s">
        <v>1222</v>
      </c>
      <c r="C175" s="207" t="s">
        <v>1147</v>
      </c>
      <c r="D175" s="207" t="s">
        <v>556</v>
      </c>
      <c r="E175" s="207" t="s">
        <v>208</v>
      </c>
      <c r="F175" s="207">
        <v>43</v>
      </c>
      <c r="G175" s="207">
        <v>66.5</v>
      </c>
      <c r="H175" s="207" t="s">
        <v>53</v>
      </c>
      <c r="I175" s="207" t="str">
        <f>VLOOKUP(H175,Sheet4!A:B,2,)</f>
        <v>polish</v>
      </c>
      <c r="J175" s="227">
        <f>2-2+2-2+2+2-4+8-2+2-4</f>
        <v>4</v>
      </c>
    </row>
    <row r="176" s="92" customFormat="1" ht="21" customHeight="1" spans="1:10">
      <c r="B176" s="202" t="s">
        <v>1223</v>
      </c>
      <c r="C176" s="203" t="s">
        <v>1147</v>
      </c>
      <c r="D176" s="203" t="s">
        <v>12</v>
      </c>
      <c r="E176" s="203" t="s">
        <v>208</v>
      </c>
      <c r="F176" s="203">
        <v>38</v>
      </c>
      <c r="G176" s="203">
        <v>66.6</v>
      </c>
      <c r="H176" s="203" t="s">
        <v>21</v>
      </c>
      <c r="I176" s="203" t="str">
        <f>VLOOKUP(H176,Sheet4!A:B,2,)</f>
        <v>Black Machine Face</v>
      </c>
      <c r="J176" s="205">
        <f>4+8-4-4-4+12-4-4-4+4+8-4-4+4-4-4+8-4-4+4-4+4+4</f>
        <v>8</v>
      </c>
    </row>
    <row r="177" s="92" customFormat="1" ht="21" customHeight="1" spans="1:10">
      <c r="B177" s="202" t="s">
        <v>1224</v>
      </c>
      <c r="C177" s="203" t="s">
        <v>1147</v>
      </c>
      <c r="D177" s="203" t="s">
        <v>23</v>
      </c>
      <c r="E177" s="203" t="s">
        <v>208</v>
      </c>
      <c r="F177" s="203">
        <v>32</v>
      </c>
      <c r="G177" s="203">
        <v>66.6</v>
      </c>
      <c r="H177" s="203" t="s">
        <v>21</v>
      </c>
      <c r="I177" s="203" t="str">
        <f>VLOOKUP(H177,Sheet4!A:B,2,)</f>
        <v>Black Machine Face</v>
      </c>
      <c r="J177" s="205">
        <f>8-4+2-2+8-4+4-2-2-4+4+2-2-4+4-2-2-4+8+2-2+2</f>
        <v>10</v>
      </c>
    </row>
    <row r="178" s="92" customFormat="1" ht="21" customHeight="1" spans="1:10">
      <c r="B178" s="202" t="s">
        <v>1224</v>
      </c>
      <c r="C178" s="203" t="s">
        <v>1147</v>
      </c>
      <c r="D178" s="203" t="s">
        <v>482</v>
      </c>
      <c r="E178" s="203" t="s">
        <v>208</v>
      </c>
      <c r="F178" s="203">
        <v>40</v>
      </c>
      <c r="G178" s="203">
        <v>66.6</v>
      </c>
      <c r="H178" s="203" t="s">
        <v>21</v>
      </c>
      <c r="I178" s="203" t="str">
        <f>VLOOKUP(H178,Sheet4!A:B,2,)</f>
        <v>Black Machine Face</v>
      </c>
      <c r="J178" s="205">
        <f>4-2-2+2+2-2+4-2-2-2+2-2+4-2-2+4-2-2+4-2+2-2-2+4-2-2+4-2-2+2-2+2-2+4-2-2+4+2-2-2-2+4+2-2+2</f>
        <v>6</v>
      </c>
    </row>
    <row r="179" s="92" customFormat="1" ht="21" customHeight="1" spans="1:10">
      <c r="B179" s="202" t="s">
        <v>1225</v>
      </c>
      <c r="C179" s="203" t="s">
        <v>1147</v>
      </c>
      <c r="D179" s="203" t="s">
        <v>29</v>
      </c>
      <c r="E179" s="203" t="s">
        <v>208</v>
      </c>
      <c r="F179" s="203">
        <v>32</v>
      </c>
      <c r="G179" s="203">
        <v>66.5</v>
      </c>
      <c r="H179" s="203" t="s">
        <v>21</v>
      </c>
      <c r="I179" s="203" t="str">
        <f>VLOOKUP(H179,Sheet4!A:B,2,)</f>
        <v>Black Machine Face</v>
      </c>
      <c r="J179" s="205">
        <f>2-2+2-2+4-2+2-2-2+2-2+2-2+6+2-2-2-2-2+6-2-2-2+4-2+2-2-2+6+4+4+2-2-2-2-2</f>
        <v>8</v>
      </c>
    </row>
    <row r="180" s="92" customFormat="1" ht="21" customHeight="1" spans="1:10">
      <c r="B180" s="202" t="s">
        <v>1225</v>
      </c>
      <c r="C180" s="203" t="s">
        <v>1147</v>
      </c>
      <c r="D180" s="203" t="s">
        <v>225</v>
      </c>
      <c r="E180" s="203" t="s">
        <v>208</v>
      </c>
      <c r="F180" s="203">
        <v>40</v>
      </c>
      <c r="G180" s="203">
        <v>66.5</v>
      </c>
      <c r="H180" s="203" t="s">
        <v>21</v>
      </c>
      <c r="I180" s="203" t="str">
        <f>VLOOKUP(H180,Sheet4!A:B,2,)</f>
        <v>Black Machine Face</v>
      </c>
      <c r="J180" s="205">
        <f>2-2+2-2+4-2+2-2-2+2-2+2-2+6+2-2-2-2-2+6-2-2-2+4-2+2-2-2+6+4+6-2-2-1+1-2-2</f>
        <v>8</v>
      </c>
    </row>
    <row r="181" s="92" customFormat="1" ht="21" customHeight="1" spans="1:10">
      <c r="B181" s="202" t="s">
        <v>1226</v>
      </c>
      <c r="C181" s="203" t="s">
        <v>1147</v>
      </c>
      <c r="D181" s="203" t="s">
        <v>31</v>
      </c>
      <c r="E181" s="203" t="s">
        <v>208</v>
      </c>
      <c r="F181" s="203">
        <v>32</v>
      </c>
      <c r="G181" s="203">
        <v>66.5</v>
      </c>
      <c r="H181" s="203" t="s">
        <v>21</v>
      </c>
      <c r="I181" s="203" t="str">
        <f>VLOOKUP(H181,Sheet4!A:B,2,)</f>
        <v>Black Machine Face</v>
      </c>
      <c r="J181" s="228">
        <f>4-2-2+2+2-4+2-2+2+4+10-2-2-2-2</f>
        <v>8</v>
      </c>
    </row>
    <row r="182" s="92" customFormat="1" ht="27" customHeight="1" spans="1:10">
      <c r="B182" s="233" t="s">
        <v>1226</v>
      </c>
      <c r="C182" s="207" t="s">
        <v>1147</v>
      </c>
      <c r="D182" s="207" t="s">
        <v>556</v>
      </c>
      <c r="E182" s="207" t="s">
        <v>208</v>
      </c>
      <c r="F182" s="207">
        <v>40</v>
      </c>
      <c r="G182" s="207">
        <v>66.5</v>
      </c>
      <c r="H182" s="207" t="s">
        <v>21</v>
      </c>
      <c r="I182" s="207" t="str">
        <f>VLOOKUP(H182,Sheet4!A:B,2,)</f>
        <v>Black Machine Face</v>
      </c>
      <c r="J182" s="251">
        <f>4-2-2+2+2-4+2-2+2+4+10-2-2-2-2</f>
        <v>8</v>
      </c>
    </row>
    <row r="183" s="92" customFormat="1" ht="23" customHeight="1" spans="1:10">
      <c r="A183" s="29"/>
      <c r="B183" s="210" t="s">
        <v>1227</v>
      </c>
      <c r="C183" s="212" t="s">
        <v>1147</v>
      </c>
      <c r="D183" s="212" t="s">
        <v>128</v>
      </c>
      <c r="E183" s="212" t="s">
        <v>208</v>
      </c>
      <c r="F183" s="212">
        <v>38</v>
      </c>
      <c r="G183" s="212">
        <v>66.5</v>
      </c>
      <c r="H183" s="212" t="s">
        <v>53</v>
      </c>
      <c r="I183" s="212" t="str">
        <f>VLOOKUP(H183,Sheet4!A:B,2,)</f>
        <v>polish</v>
      </c>
      <c r="J183" s="253">
        <f>8-4+8-4+4-4+4</f>
        <v>12</v>
      </c>
    </row>
    <row r="184" s="92" customFormat="1" ht="23" customHeight="1" spans="1:10">
      <c r="B184" s="202" t="s">
        <v>1228</v>
      </c>
      <c r="C184" s="202" t="s">
        <v>1147</v>
      </c>
      <c r="D184" s="202" t="s">
        <v>12</v>
      </c>
      <c r="E184" s="202" t="s">
        <v>208</v>
      </c>
      <c r="F184" s="202">
        <v>38</v>
      </c>
      <c r="G184" s="202">
        <v>66.5</v>
      </c>
      <c r="H184" s="202" t="s">
        <v>53</v>
      </c>
      <c r="I184" s="202" t="str">
        <f>VLOOKUP(H184,Sheet4!A:B,2,)</f>
        <v>polish</v>
      </c>
      <c r="J184" s="228">
        <f>3+4-4+8-1-1-4+4-1</f>
        <v>8</v>
      </c>
    </row>
    <row r="185" s="92" customFormat="1" ht="23" customHeight="1" spans="1:10">
      <c r="B185" s="202" t="s">
        <v>1229</v>
      </c>
      <c r="C185" s="202" t="s">
        <v>1147</v>
      </c>
      <c r="D185" s="202" t="s">
        <v>12</v>
      </c>
      <c r="E185" s="202" t="s">
        <v>208</v>
      </c>
      <c r="F185" s="202">
        <v>38</v>
      </c>
      <c r="G185" s="202">
        <v>66.5</v>
      </c>
      <c r="H185" s="202" t="s">
        <v>53</v>
      </c>
      <c r="I185" s="202" t="str">
        <f>VLOOKUP(H185,Sheet4!A:B,2,)</f>
        <v>polish</v>
      </c>
      <c r="J185" s="228">
        <f>12-4-1-4-2-1</f>
        <v>0</v>
      </c>
    </row>
    <row r="186" s="92" customFormat="1" ht="23" customHeight="1" spans="1:10">
      <c r="B186" s="202" t="s">
        <v>1229</v>
      </c>
      <c r="C186" s="203" t="s">
        <v>1147</v>
      </c>
      <c r="D186" s="203" t="s">
        <v>814</v>
      </c>
      <c r="E186" s="203" t="s">
        <v>208</v>
      </c>
      <c r="F186" s="203">
        <v>40</v>
      </c>
      <c r="G186" s="203">
        <v>66.5</v>
      </c>
      <c r="H186" s="203" t="s">
        <v>53</v>
      </c>
      <c r="I186" s="203" t="str">
        <f>VLOOKUP(H186,Sheet4!A:B,2,)</f>
        <v>polish</v>
      </c>
      <c r="J186" s="205">
        <f>6-2-2+2-2+4-2-2</f>
        <v>2</v>
      </c>
    </row>
    <row r="187" s="92" customFormat="1" ht="23" customHeight="1" spans="1:10">
      <c r="B187" s="202" t="s">
        <v>1230</v>
      </c>
      <c r="C187" s="203" t="s">
        <v>1147</v>
      </c>
      <c r="D187" s="202" t="s">
        <v>44</v>
      </c>
      <c r="E187" s="202" t="s">
        <v>208</v>
      </c>
      <c r="F187" s="202">
        <v>40</v>
      </c>
      <c r="G187" s="202">
        <v>66.5</v>
      </c>
      <c r="H187" s="202" t="s">
        <v>53</v>
      </c>
      <c r="I187" s="202" t="str">
        <f>VLOOKUP(H187,Sheet4!A:B,2,)</f>
        <v>polish</v>
      </c>
      <c r="J187" s="228">
        <f>1+12-4-4-4+4-1+1-4+4-4+12-3-9+4-4+4+12-4-1-4+20-4-4-3-4-4+4-4+4-4-4-2+1-4+8+4-1-3-4+12-1-4+1-4-4-4+8-4-4+4-4+5-1-4+4-4+1-1</f>
        <v>0</v>
      </c>
    </row>
    <row r="188" s="92" customFormat="1" ht="23" customHeight="1" spans="1:10">
      <c r="B188" s="202" t="s">
        <v>1231</v>
      </c>
      <c r="C188" s="202" t="s">
        <v>1147</v>
      </c>
      <c r="D188" s="202" t="s">
        <v>23</v>
      </c>
      <c r="E188" s="202" t="s">
        <v>208</v>
      </c>
      <c r="F188" s="202" t="s">
        <v>1232</v>
      </c>
      <c r="G188" s="202">
        <v>66.5</v>
      </c>
      <c r="H188" s="202" t="s">
        <v>53</v>
      </c>
      <c r="I188" s="202" t="str">
        <f>VLOOKUP(H188,Sheet4!A:B,2,)</f>
        <v>polish</v>
      </c>
      <c r="J188" s="228">
        <f>17+1-2-2+6-2-4-2-2-1+4-4+8-2-4-3-2-2+2-2+4+1+12+20-4-2-1-2-2-2-2-2-2+8-1-4+2-2+2-4-2-1-2-2</f>
        <v>16</v>
      </c>
    </row>
    <row r="189" s="92" customFormat="1" ht="23" customHeight="1" spans="1:10">
      <c r="B189" s="202" t="s">
        <v>1233</v>
      </c>
      <c r="C189" s="202" t="s">
        <v>1147</v>
      </c>
      <c r="D189" s="202" t="s">
        <v>482</v>
      </c>
      <c r="E189" s="202" t="s">
        <v>208</v>
      </c>
      <c r="F189" s="202" t="s">
        <v>553</v>
      </c>
      <c r="G189" s="202">
        <v>66.5</v>
      </c>
      <c r="H189" s="202" t="s">
        <v>53</v>
      </c>
      <c r="I189" s="202" t="str">
        <f>VLOOKUP(H189,Sheet4!A:B,2,)</f>
        <v>polish</v>
      </c>
      <c r="J189" s="228">
        <f>7-2+2-2-2+8-2-2-2-2+10-2-2-2-2-2-2+4+2-2-2+6-1-2-2-2+4-2-1+1-2-2+2-2+4-2-1+3-2-2+8-2+2-2-2-1-2</f>
        <v>1</v>
      </c>
    </row>
    <row r="190" s="92" customFormat="1" ht="23" customHeight="1" spans="1:10">
      <c r="B190" s="202" t="s">
        <v>1234</v>
      </c>
      <c r="C190" s="203" t="s">
        <v>1147</v>
      </c>
      <c r="D190" s="203" t="s">
        <v>29</v>
      </c>
      <c r="E190" s="203" t="s">
        <v>208</v>
      </c>
      <c r="F190" s="203" t="s">
        <v>1235</v>
      </c>
      <c r="G190" s="203">
        <v>66.5</v>
      </c>
      <c r="H190" s="203" t="s">
        <v>53</v>
      </c>
      <c r="I190" s="203" t="str">
        <f>VLOOKUP(H190,Sheet4!A:B,2,)</f>
        <v>polish</v>
      </c>
      <c r="J190" s="228">
        <f>16-2-2-2-2-2+2+2-4-2+6-2+2-1-2-2-2-2+10-2-2+4-2-4-2-1+4-2-2+10-2+1-2-2-2-2+4-2+4-2-2-2-2+2+8-2+2-4+4</f>
        <v>11</v>
      </c>
    </row>
    <row r="191" s="92" customFormat="1" ht="23" customHeight="1" spans="1:10">
      <c r="A191" s="62"/>
      <c r="B191" s="233" t="s">
        <v>1234</v>
      </c>
      <c r="C191" s="207" t="s">
        <v>1147</v>
      </c>
      <c r="D191" s="207" t="s">
        <v>225</v>
      </c>
      <c r="E191" s="207" t="s">
        <v>208</v>
      </c>
      <c r="F191" s="207" t="s">
        <v>553</v>
      </c>
      <c r="G191" s="207">
        <v>66.5</v>
      </c>
      <c r="H191" s="207" t="s">
        <v>53</v>
      </c>
      <c r="I191" s="207" t="str">
        <f>VLOOKUP(H191,Sheet4!A:B,2,)</f>
        <v>polish</v>
      </c>
      <c r="J191" s="251">
        <f>16-2-2-2-2-2-4+2+2-2+6-2+2-1-2+1-2-2-1-2+10-2-2+4-2-4-2+4-2-2+10-2-2-1-2-2-2+4-2+4-2-2-2-2+2+8-2+2-4-4</f>
        <v>2</v>
      </c>
    </row>
    <row r="192" s="92" customFormat="1" ht="24" customHeight="1" spans="1:10">
      <c r="B192" s="202" t="s">
        <v>1236</v>
      </c>
      <c r="C192" s="202" t="s">
        <v>1147</v>
      </c>
      <c r="D192" s="202" t="s">
        <v>128</v>
      </c>
      <c r="E192" s="202" t="s">
        <v>208</v>
      </c>
      <c r="F192" s="202">
        <v>38</v>
      </c>
      <c r="G192" s="202">
        <v>66.5</v>
      </c>
      <c r="H192" s="202" t="s">
        <v>21</v>
      </c>
      <c r="I192" s="202" t="str">
        <f>VLOOKUP(H192,Sheet4!A:B,2,)</f>
        <v>Black Machine Face</v>
      </c>
      <c r="J192" s="228">
        <f>1+4-4+8+8-4+20-4-4-4-4-4-4-4-4+8-4-4+4-4+4-4+12-4-4+16-4-4-4-4+4-4-4+16-1-4+8-4-4-4-4-1</f>
        <v>3</v>
      </c>
    </row>
    <row r="193" s="92" customFormat="1" ht="24" customHeight="1" spans="1:10">
      <c r="B193" s="202" t="s">
        <v>1237</v>
      </c>
      <c r="C193" s="202" t="s">
        <v>1147</v>
      </c>
      <c r="D193" s="203" t="s">
        <v>12</v>
      </c>
      <c r="E193" s="203" t="s">
        <v>208</v>
      </c>
      <c r="F193" s="203">
        <v>38</v>
      </c>
      <c r="G193" s="203">
        <v>66.5</v>
      </c>
      <c r="H193" s="203" t="s">
        <v>21</v>
      </c>
      <c r="I193" s="203" t="str">
        <f>VLOOKUP(H193,Sheet4!A:B,2,)</f>
        <v>Black Machine Face</v>
      </c>
      <c r="J193" s="205">
        <f>1+4-4</f>
        <v>1</v>
      </c>
    </row>
    <row r="194" s="92" customFormat="1" ht="24" customHeight="1" spans="1:10">
      <c r="B194" s="202" t="s">
        <v>1238</v>
      </c>
      <c r="C194" s="202" t="s">
        <v>1147</v>
      </c>
      <c r="D194" s="203" t="s">
        <v>12</v>
      </c>
      <c r="E194" s="203" t="s">
        <v>208</v>
      </c>
      <c r="F194" s="203">
        <v>38</v>
      </c>
      <c r="G194" s="203">
        <v>66.5</v>
      </c>
      <c r="H194" s="203" t="s">
        <v>21</v>
      </c>
      <c r="I194" s="203" t="str">
        <f>VLOOKUP(H194,Sheet4!A:B,2,)</f>
        <v>Black Machine Face</v>
      </c>
      <c r="J194" s="205">
        <f>5-4-1+4+8-4+4-4+4+12-4-4-4-4+12+4-4-4-4-4-4-4+4-4+20-4-4-4-4-4+8-4+4-4+4-4-4+8-4</f>
        <v>4</v>
      </c>
    </row>
    <row r="195" s="92" customFormat="1" ht="24" customHeight="1" spans="1:10">
      <c r="B195" s="202" t="s">
        <v>1239</v>
      </c>
      <c r="C195" s="202" t="s">
        <v>1147</v>
      </c>
      <c r="D195" s="203" t="s">
        <v>44</v>
      </c>
      <c r="E195" s="203" t="s">
        <v>208</v>
      </c>
      <c r="F195" s="203">
        <v>40</v>
      </c>
      <c r="G195" s="203">
        <v>66.5</v>
      </c>
      <c r="H195" s="203" t="s">
        <v>21</v>
      </c>
      <c r="I195" s="203" t="str">
        <f>VLOOKUP(H195,Sheet4!A:B,2,)</f>
        <v>Black Machine Face</v>
      </c>
      <c r="J195" s="205">
        <f>4+4-4+4-4+24-8-4-4-4-4-4+8-4-2-2+12-4-4-4</f>
        <v>0</v>
      </c>
    </row>
    <row r="196" s="92" customFormat="1" ht="24" customHeight="1" spans="1:10">
      <c r="B196" s="202" t="s">
        <v>1240</v>
      </c>
      <c r="C196" s="202" t="s">
        <v>1147</v>
      </c>
      <c r="D196" s="203" t="s">
        <v>23</v>
      </c>
      <c r="E196" s="203" t="s">
        <v>208</v>
      </c>
      <c r="F196" s="203">
        <v>32</v>
      </c>
      <c r="G196" s="203">
        <v>66.5</v>
      </c>
      <c r="H196" s="203" t="s">
        <v>21</v>
      </c>
      <c r="I196" s="203" t="str">
        <f>VLOOKUP(H196,Sheet4!A:B,2,)</f>
        <v>Black Machine Face</v>
      </c>
      <c r="J196" s="205">
        <f>36-4-4-4-4-4-4-2-4-4-2+8+8-4+8-4-4+8+8+16-2-4-4-4+4-2</f>
        <v>32</v>
      </c>
    </row>
    <row r="197" s="92" customFormat="1" ht="24" customHeight="1" spans="1:10">
      <c r="B197" s="202" t="s">
        <v>1241</v>
      </c>
      <c r="C197" s="202" t="s">
        <v>1147</v>
      </c>
      <c r="D197" s="203" t="s">
        <v>482</v>
      </c>
      <c r="E197" s="203" t="s">
        <v>208</v>
      </c>
      <c r="F197" s="203" t="s">
        <v>448</v>
      </c>
      <c r="G197" s="203">
        <v>66.5</v>
      </c>
      <c r="H197" s="203" t="s">
        <v>21</v>
      </c>
      <c r="I197" s="203" t="str">
        <f>VLOOKUP(H197,Sheet4!A:B,2,)</f>
        <v>Black Machine Face</v>
      </c>
      <c r="J197" s="205">
        <f>10+2-2+2-2-2+2+3-2-2-1+20-2-2+2-2-2+8+4-2-2-2-2-2-2-2-2-2-2-2-2-2-2-2+2-2-2+4+6-2-2-2+4-4+4-8+8+8-2-2+4-2-2</f>
        <v>14</v>
      </c>
    </row>
    <row r="198" s="92" customFormat="1" ht="24" customHeight="1" spans="1:10">
      <c r="B198" s="202" t="s">
        <v>1242</v>
      </c>
      <c r="C198" s="202" t="s">
        <v>1147</v>
      </c>
      <c r="D198" s="203" t="s">
        <v>29</v>
      </c>
      <c r="E198" s="203" t="s">
        <v>208</v>
      </c>
      <c r="F198" s="203">
        <v>32</v>
      </c>
      <c r="G198" s="203">
        <v>66.5</v>
      </c>
      <c r="H198" s="203" t="s">
        <v>21</v>
      </c>
      <c r="I198" s="203" t="str">
        <f>VLOOKUP(H198,Sheet4!A:B,2,)</f>
        <v>Black Machine Face</v>
      </c>
      <c r="J198" s="205">
        <f>10-4-2+2+1+8-2-2-2-2-2-2+10-2-2-2-2-1-2+2+4-2-1</f>
        <v>5</v>
      </c>
    </row>
    <row r="199" s="92" customFormat="1" ht="24" customHeight="1" spans="1:10">
      <c r="A199" s="254"/>
      <c r="B199" s="233" t="s">
        <v>1242</v>
      </c>
      <c r="C199" s="233" t="s">
        <v>1147</v>
      </c>
      <c r="D199" s="207" t="s">
        <v>225</v>
      </c>
      <c r="E199" s="207" t="s">
        <v>208</v>
      </c>
      <c r="F199" s="207">
        <v>40</v>
      </c>
      <c r="G199" s="207">
        <v>66.5</v>
      </c>
      <c r="H199" s="207" t="s">
        <v>21</v>
      </c>
      <c r="I199" s="207" t="str">
        <f>VLOOKUP(H199,Sheet4!A:B,2,)</f>
        <v>Black Machine Face</v>
      </c>
      <c r="J199" s="227">
        <f>16-2+2-2-1-1-2-2-2-2-2-2+4+2-2-2+2-2-2+2+2+4-2-2-2-2+4+2+4-2-2-2-2+6-2-2+2+2-2-2-1-2+1+8-1-4-2+2+8-2-2-2-2-2-1-2+10-2-1-2-2-2-1+2+4-2</f>
        <v>4</v>
      </c>
    </row>
    <row r="200" s="92" customFormat="1" ht="23" customHeight="1" spans="1:10">
      <c r="B200" s="202" t="s">
        <v>1243</v>
      </c>
      <c r="C200" s="255" t="s">
        <v>1147</v>
      </c>
      <c r="D200" s="208" t="s">
        <v>12</v>
      </c>
      <c r="E200" s="208" t="s">
        <v>208</v>
      </c>
      <c r="F200" s="208">
        <v>38</v>
      </c>
      <c r="G200" s="208">
        <v>66.56</v>
      </c>
      <c r="H200" s="255" t="s">
        <v>21</v>
      </c>
      <c r="I200" s="255" t="str">
        <f>VLOOKUP(H200,Sheet4!A:B,2,)</f>
        <v>Black Machine Face</v>
      </c>
      <c r="J200" s="228">
        <f>5+12-4-1-4-4+4+13-4-4-4-4-4+20-4-4-1+1-4+12-4+8-4-4-4-4-4-4+16+4-4</f>
        <v>17</v>
      </c>
    </row>
    <row r="201" s="92" customFormat="1" ht="23" customHeight="1" spans="1:10">
      <c r="B201" s="202" t="s">
        <v>1244</v>
      </c>
      <c r="C201" s="255" t="s">
        <v>1147</v>
      </c>
      <c r="D201" s="208" t="s">
        <v>23</v>
      </c>
      <c r="E201" s="208" t="s">
        <v>208</v>
      </c>
      <c r="F201" s="208">
        <v>32</v>
      </c>
      <c r="G201" s="208">
        <v>66.5</v>
      </c>
      <c r="H201" s="255" t="s">
        <v>21</v>
      </c>
      <c r="I201" s="255" t="str">
        <f>VLOOKUP(H201,Sheet4!A:B,2,)</f>
        <v>Black Machine Face</v>
      </c>
      <c r="J201" s="228">
        <f>4-2-2+6+2-2-2-2-2+2+4-2-2-2+2+4-2-4+2-2+4-2+6-4+4-4-2-2+2-2+2-2+16-4-4-2-2+4-2+2+10-4-2-4-2-2-4+2+14-4-4+4-2-4-4-2+6+12-2-4-2-4-4-2</f>
        <v>0</v>
      </c>
    </row>
    <row r="202" s="92" customFormat="1" ht="23" customHeight="1" spans="1:10">
      <c r="B202" s="202" t="s">
        <v>1244</v>
      </c>
      <c r="C202" s="255" t="s">
        <v>1147</v>
      </c>
      <c r="D202" s="203" t="s">
        <v>482</v>
      </c>
      <c r="E202" s="203" t="s">
        <v>208</v>
      </c>
      <c r="F202" s="203">
        <v>40</v>
      </c>
      <c r="G202" s="208">
        <v>66.5</v>
      </c>
      <c r="H202" s="255" t="s">
        <v>21</v>
      </c>
      <c r="I202" s="255" t="str">
        <f>VLOOKUP(H202,Sheet4!A:B,2,)</f>
        <v>Black Machine Face</v>
      </c>
      <c r="J202" s="228">
        <f>4-2-2+6+2-2-2-2-2+2+4-2-2-2+2+4-2-2+4+4-2-2-2+2-2+2-2-2-2+4-2+2+10-2-2-2-2-2+6+4-2-2-2</f>
        <v>8</v>
      </c>
    </row>
    <row r="203" s="92" customFormat="1" ht="23" customHeight="1" spans="1:10">
      <c r="B203" s="202" t="s">
        <v>1245</v>
      </c>
      <c r="C203" s="255" t="s">
        <v>1147</v>
      </c>
      <c r="D203" s="203" t="s">
        <v>29</v>
      </c>
      <c r="E203" s="208" t="s">
        <v>208</v>
      </c>
      <c r="F203" s="203">
        <v>32</v>
      </c>
      <c r="G203" s="208">
        <v>66.56</v>
      </c>
      <c r="H203" s="255" t="s">
        <v>21</v>
      </c>
      <c r="I203" s="255" t="str">
        <f>VLOOKUP(H203,Sheet4!A:B,2,)</f>
        <v>Black Machine Face</v>
      </c>
      <c r="J203" s="228">
        <f>2+2-2-2+2+2-2-2+4-2+4+2-2-2-2-2+4-4+4-4+4+4-4+4+6+6-4-2-2-2-2-2-2-2+2-2-2+4-2-2+10-4-2-2-2+2</f>
        <v>2</v>
      </c>
    </row>
    <row r="204" s="92" customFormat="1" ht="23" customHeight="1" spans="1:10">
      <c r="B204" s="202" t="s">
        <v>1245</v>
      </c>
      <c r="C204" s="255" t="s">
        <v>1147</v>
      </c>
      <c r="D204" s="203" t="s">
        <v>225</v>
      </c>
      <c r="E204" s="203" t="s">
        <v>208</v>
      </c>
      <c r="F204" s="203">
        <v>40</v>
      </c>
      <c r="G204" s="208">
        <v>66.56</v>
      </c>
      <c r="H204" s="255" t="s">
        <v>21</v>
      </c>
      <c r="I204" s="255" t="str">
        <f>VLOOKUP(H204,Sheet4!A:B,2,)</f>
        <v>Black Machine Face</v>
      </c>
      <c r="J204" s="228">
        <f>2+2-2-2+2+2-2-2+4-2+4+2-2-2-2-2+4+4+6+6-4-2-2-2-2-2-2-2+2-2-2+4-2-2+10-4-2-2-2+2</f>
        <v>2</v>
      </c>
    </row>
    <row r="205" s="92" customFormat="1" ht="23" customHeight="1" spans="1:10">
      <c r="B205" s="202" t="s">
        <v>1246</v>
      </c>
      <c r="C205" s="255" t="s">
        <v>1147</v>
      </c>
      <c r="D205" s="203" t="s">
        <v>31</v>
      </c>
      <c r="E205" s="208" t="s">
        <v>208</v>
      </c>
      <c r="F205" s="203">
        <v>32</v>
      </c>
      <c r="G205" s="208">
        <v>66.56</v>
      </c>
      <c r="H205" s="255" t="s">
        <v>21</v>
      </c>
      <c r="I205" s="255" t="str">
        <f>VLOOKUP(H205,Sheet4!A:B,2,)</f>
        <v>Black Machine Face</v>
      </c>
      <c r="J205" s="228">
        <f>2-2+6-2-2-2</f>
        <v>0</v>
      </c>
    </row>
    <row r="206" s="92" customFormat="1" ht="23" customHeight="1" spans="1:10">
      <c r="A206" s="62"/>
      <c r="B206" s="233" t="s">
        <v>1246</v>
      </c>
      <c r="C206" s="256" t="s">
        <v>1147</v>
      </c>
      <c r="D206" s="207" t="s">
        <v>556</v>
      </c>
      <c r="E206" s="207" t="s">
        <v>208</v>
      </c>
      <c r="F206" s="207">
        <v>40</v>
      </c>
      <c r="G206" s="216">
        <v>66.56</v>
      </c>
      <c r="H206" s="256" t="s">
        <v>21</v>
      </c>
      <c r="I206" s="256" t="str">
        <f>VLOOKUP(H206,Sheet4!A:B,2,)</f>
        <v>Black Machine Face</v>
      </c>
      <c r="J206" s="251">
        <f>2-2+6-2-2-2</f>
        <v>0</v>
      </c>
    </row>
    <row r="207" s="92" customFormat="1" ht="29" customHeight="1" spans="1:10">
      <c r="B207" s="202" t="s">
        <v>1247</v>
      </c>
      <c r="C207" s="255" t="s">
        <v>1147</v>
      </c>
      <c r="D207" s="203" t="s">
        <v>23</v>
      </c>
      <c r="E207" s="203" t="s">
        <v>208</v>
      </c>
      <c r="F207" s="203">
        <v>32</v>
      </c>
      <c r="G207" s="203">
        <v>66.56</v>
      </c>
      <c r="H207" s="203" t="s">
        <v>53</v>
      </c>
      <c r="I207" s="203" t="str">
        <f>VLOOKUP(H207,Sheet4!A:B,2,)</f>
        <v>polish</v>
      </c>
      <c r="J207" s="205">
        <f>2-2+4-2-2+2-2+2-2+2-2+2</f>
        <v>2</v>
      </c>
    </row>
    <row r="208" s="92" customFormat="1" ht="29" customHeight="1" spans="1:10">
      <c r="B208" s="202" t="s">
        <v>1248</v>
      </c>
      <c r="C208" s="255" t="s">
        <v>1147</v>
      </c>
      <c r="D208" s="203" t="s">
        <v>482</v>
      </c>
      <c r="E208" s="203" t="s">
        <v>208</v>
      </c>
      <c r="F208" s="203">
        <v>40</v>
      </c>
      <c r="G208" s="203">
        <v>66.56</v>
      </c>
      <c r="H208" s="203" t="s">
        <v>53</v>
      </c>
      <c r="I208" s="203" t="str">
        <f>VLOOKUP(H208,Sheet4!A:B,2,)</f>
        <v>polish</v>
      </c>
      <c r="J208" s="205">
        <f>2-2+4-2-2+2-2+2-2+2-2+2</f>
        <v>2</v>
      </c>
    </row>
    <row r="209" s="92" customFormat="1" ht="29" customHeight="1" spans="1:10">
      <c r="B209" s="202" t="s">
        <v>1249</v>
      </c>
      <c r="C209" s="255" t="s">
        <v>1147</v>
      </c>
      <c r="D209" s="203" t="s">
        <v>29</v>
      </c>
      <c r="E209" s="203" t="s">
        <v>208</v>
      </c>
      <c r="F209" s="203">
        <v>32</v>
      </c>
      <c r="G209" s="203">
        <v>66.56</v>
      </c>
      <c r="H209" s="203" t="s">
        <v>53</v>
      </c>
      <c r="I209" s="203" t="str">
        <f>VLOOKUP(H209,Sheet4!A:B,2,)</f>
        <v>polish</v>
      </c>
      <c r="J209" s="205">
        <f>2-2+2-2+2-2+6-2</f>
        <v>4</v>
      </c>
    </row>
    <row r="210" s="92" customFormat="1" ht="29" customHeight="1" spans="1:10">
      <c r="A210" s="62"/>
      <c r="B210" s="233" t="s">
        <v>1250</v>
      </c>
      <c r="C210" s="256" t="s">
        <v>1147</v>
      </c>
      <c r="D210" s="207" t="s">
        <v>225</v>
      </c>
      <c r="E210" s="207" t="s">
        <v>208</v>
      </c>
      <c r="F210" s="207">
        <v>40</v>
      </c>
      <c r="G210" s="207">
        <v>66.56</v>
      </c>
      <c r="H210" s="207" t="s">
        <v>53</v>
      </c>
      <c r="I210" s="207" t="str">
        <f>VLOOKUP(H210,Sheet4!A:B,2,)</f>
        <v>polish</v>
      </c>
      <c r="J210" s="227">
        <f>2-2+2-2+2-2+6-2</f>
        <v>4</v>
      </c>
    </row>
    <row r="211" s="92" customFormat="1" ht="21" customHeight="1" spans="1:10">
      <c r="B211" s="202" t="s">
        <v>1251</v>
      </c>
      <c r="C211" s="203" t="s">
        <v>1147</v>
      </c>
      <c r="D211" s="203" t="s">
        <v>128</v>
      </c>
      <c r="E211" s="203" t="s">
        <v>208</v>
      </c>
      <c r="F211" s="203">
        <v>40</v>
      </c>
      <c r="G211" s="203">
        <v>66.56</v>
      </c>
      <c r="H211" s="203" t="s">
        <v>21</v>
      </c>
      <c r="I211" s="203" t="str">
        <f>VLOOKUP(H211,Sheet4!A:B,2,)</f>
        <v>Black Machine Face</v>
      </c>
      <c r="J211" s="205">
        <f>4-4</f>
        <v>0</v>
      </c>
    </row>
    <row r="212" s="92" customFormat="1" ht="21" customHeight="1" spans="1:10">
      <c r="B212" s="202" t="s">
        <v>1252</v>
      </c>
      <c r="C212" s="203" t="s">
        <v>1147</v>
      </c>
      <c r="D212" s="203" t="s">
        <v>12</v>
      </c>
      <c r="E212" s="203" t="s">
        <v>208</v>
      </c>
      <c r="F212" s="203" t="s">
        <v>370</v>
      </c>
      <c r="G212" s="203">
        <v>66.56</v>
      </c>
      <c r="H212" s="203" t="s">
        <v>21</v>
      </c>
      <c r="I212" s="203" t="str">
        <f>VLOOKUP(H212,Sheet4!A:B,2,)</f>
        <v>Black Machine Face</v>
      </c>
      <c r="J212" s="205">
        <f>5+4-4+4-4+4-4+4+4-4-4-1+8-4-1-4+12-1-4-4-4-1</f>
        <v>1</v>
      </c>
    </row>
    <row r="213" s="92" customFormat="1" ht="21" customHeight="1" spans="1:10">
      <c r="B213" s="202" t="s">
        <v>1253</v>
      </c>
      <c r="C213" s="203" t="s">
        <v>1147</v>
      </c>
      <c r="D213" s="203" t="s">
        <v>23</v>
      </c>
      <c r="E213" s="203" t="s">
        <v>208</v>
      </c>
      <c r="F213" s="203">
        <v>32</v>
      </c>
      <c r="G213" s="203">
        <v>66.5</v>
      </c>
      <c r="H213" s="203" t="s">
        <v>21</v>
      </c>
      <c r="I213" s="203" t="str">
        <f>VLOOKUP(H213,Sheet4!A:B,2,)</f>
        <v>Black Machine Face</v>
      </c>
      <c r="J213" s="205">
        <f>2-2+2-2+2-2</f>
        <v>0</v>
      </c>
    </row>
    <row r="214" s="92" customFormat="1" ht="21" customHeight="1" spans="1:10">
      <c r="B214" s="202" t="s">
        <v>1253</v>
      </c>
      <c r="C214" s="203" t="s">
        <v>1147</v>
      </c>
      <c r="D214" s="203" t="s">
        <v>482</v>
      </c>
      <c r="E214" s="203" t="s">
        <v>208</v>
      </c>
      <c r="F214" s="203">
        <v>40</v>
      </c>
      <c r="G214" s="203">
        <v>66.5</v>
      </c>
      <c r="H214" s="203" t="s">
        <v>21</v>
      </c>
      <c r="I214" s="203" t="str">
        <f>VLOOKUP(H214,Sheet4!A:B,2,)</f>
        <v>Black Machine Face</v>
      </c>
      <c r="J214" s="205">
        <v>0</v>
      </c>
    </row>
    <row r="215" s="92" customFormat="1" ht="21" customHeight="1" spans="1:10">
      <c r="B215" s="202" t="s">
        <v>1254</v>
      </c>
      <c r="C215" s="203" t="s">
        <v>1147</v>
      </c>
      <c r="D215" s="203" t="s">
        <v>29</v>
      </c>
      <c r="E215" s="203" t="s">
        <v>208</v>
      </c>
      <c r="F215" s="203">
        <v>36</v>
      </c>
      <c r="G215" s="203">
        <v>66.5</v>
      </c>
      <c r="H215" s="203" t="s">
        <v>21</v>
      </c>
      <c r="I215" s="203" t="str">
        <f>VLOOKUP(H215,Sheet4!A:B,2,)</f>
        <v>Black Machine Face</v>
      </c>
      <c r="J215" s="205">
        <f>8-2-2-2+2-2-2+2-2+2-2+2+2-2-2+2-2+2</f>
        <v>2</v>
      </c>
    </row>
    <row r="216" s="92" customFormat="1" ht="21" customHeight="1" spans="1:10">
      <c r="A216" s="62"/>
      <c r="B216" s="233" t="s">
        <v>1254</v>
      </c>
      <c r="C216" s="207" t="s">
        <v>1147</v>
      </c>
      <c r="D216" s="207" t="s">
        <v>225</v>
      </c>
      <c r="E216" s="207" t="s">
        <v>208</v>
      </c>
      <c r="F216" s="207">
        <v>43.5</v>
      </c>
      <c r="G216" s="207">
        <v>66.5</v>
      </c>
      <c r="H216" s="207" t="s">
        <v>21</v>
      </c>
      <c r="I216" s="207" t="str">
        <f>VLOOKUP(H216,Sheet4!A:B,2,)</f>
        <v>Black Machine Face</v>
      </c>
      <c r="J216" s="227">
        <f>8-2-2-2+2-2-2+2-2+2-2+2+2-2-2+2-2+2</f>
        <v>2</v>
      </c>
    </row>
    <row r="217" s="92" customFormat="1" ht="28" customHeight="1" spans="1:10">
      <c r="B217" s="202" t="s">
        <v>1255</v>
      </c>
      <c r="C217" s="203" t="s">
        <v>1147</v>
      </c>
      <c r="D217" s="203" t="s">
        <v>23</v>
      </c>
      <c r="E217" s="203" t="s">
        <v>208</v>
      </c>
      <c r="F217" s="203">
        <v>32</v>
      </c>
      <c r="G217" s="203">
        <v>66.5</v>
      </c>
      <c r="H217" s="203" t="s">
        <v>513</v>
      </c>
      <c r="I217" s="203" t="str">
        <f>VLOOKUP(H217,Sheet4!A:B,2,)</f>
        <v>silver Machine Face</v>
      </c>
      <c r="J217" s="205">
        <v>0</v>
      </c>
    </row>
    <row r="218" s="92" customFormat="1" ht="28" customHeight="1" spans="1:10">
      <c r="B218" s="202" t="s">
        <v>1255</v>
      </c>
      <c r="C218" s="203" t="s">
        <v>1147</v>
      </c>
      <c r="D218" s="203" t="s">
        <v>482</v>
      </c>
      <c r="E218" s="203" t="s">
        <v>208</v>
      </c>
      <c r="F218" s="203">
        <v>40</v>
      </c>
      <c r="G218" s="203">
        <v>66.5</v>
      </c>
      <c r="H218" s="203" t="s">
        <v>513</v>
      </c>
      <c r="I218" s="203" t="str">
        <f>VLOOKUP(H218,Sheet4!A:B,2,)</f>
        <v>silver Machine Face</v>
      </c>
      <c r="J218" s="205">
        <v>0</v>
      </c>
    </row>
    <row r="219" s="92" customFormat="1" ht="28" customHeight="1" spans="1:10">
      <c r="B219" s="202" t="s">
        <v>1256</v>
      </c>
      <c r="C219" s="203" t="s">
        <v>1147</v>
      </c>
      <c r="D219" s="203" t="s">
        <v>29</v>
      </c>
      <c r="E219" s="203" t="s">
        <v>208</v>
      </c>
      <c r="F219" s="203">
        <v>32</v>
      </c>
      <c r="G219" s="203">
        <v>66.5</v>
      </c>
      <c r="H219" s="203" t="s">
        <v>513</v>
      </c>
      <c r="I219" s="203" t="str">
        <f>VLOOKUP(H219,Sheet4!A:B,2,)</f>
        <v>silver Machine Face</v>
      </c>
      <c r="J219" s="205">
        <f>2-2+2-2+2+2-2-2+2-2+6-2-2-2</f>
        <v>0</v>
      </c>
    </row>
    <row r="220" s="11" customFormat="1" ht="28" customHeight="1" spans="1:10">
      <c r="A220" s="62"/>
      <c r="B220" s="233" t="s">
        <v>1257</v>
      </c>
      <c r="C220" s="207" t="s">
        <v>1147</v>
      </c>
      <c r="D220" s="207" t="s">
        <v>225</v>
      </c>
      <c r="E220" s="207" t="s">
        <v>208</v>
      </c>
      <c r="F220" s="207">
        <v>40</v>
      </c>
      <c r="G220" s="207">
        <v>66.5</v>
      </c>
      <c r="H220" s="207" t="s">
        <v>513</v>
      </c>
      <c r="I220" s="207" t="str">
        <f>VLOOKUP(H220,Sheet4!A:B,2,)</f>
        <v>silver Machine Face</v>
      </c>
      <c r="J220" s="227">
        <f>2-2+2-2+2+2-2-2+2-2+6-2-2-2</f>
        <v>0</v>
      </c>
    </row>
    <row r="221" s="11" customFormat="1" ht="24" customHeight="1" spans="1:10">
      <c r="A221" s="92"/>
      <c r="B221" s="202" t="s">
        <v>1258</v>
      </c>
      <c r="C221" s="203" t="s">
        <v>1147</v>
      </c>
      <c r="D221" s="203" t="s">
        <v>23</v>
      </c>
      <c r="E221" s="203" t="s">
        <v>208</v>
      </c>
      <c r="F221" s="203">
        <v>31.5</v>
      </c>
      <c r="G221" s="203">
        <v>66.56</v>
      </c>
      <c r="H221" s="203" t="s">
        <v>53</v>
      </c>
      <c r="I221" s="203" t="str">
        <f>VLOOKUP(H221,Sheet4!A:B,2,)</f>
        <v>polish</v>
      </c>
      <c r="J221" s="205">
        <f>12-4-4-4</f>
        <v>0</v>
      </c>
    </row>
    <row r="222" s="92" customFormat="1" ht="24" customHeight="1" spans="1:10">
      <c r="B222" s="202" t="s">
        <v>1259</v>
      </c>
      <c r="C222" s="203" t="s">
        <v>1147</v>
      </c>
      <c r="D222" s="202" t="s">
        <v>23</v>
      </c>
      <c r="E222" s="202" t="s">
        <v>208</v>
      </c>
      <c r="F222" s="202">
        <v>32</v>
      </c>
      <c r="G222" s="202">
        <v>66.56</v>
      </c>
      <c r="H222" s="202" t="s">
        <v>53</v>
      </c>
      <c r="I222" s="202" t="str">
        <f>VLOOKUP(H222,Sheet4!A:B,2,)</f>
        <v>polish</v>
      </c>
      <c r="J222" s="228">
        <f>2-2+2-2+2-2</f>
        <v>0</v>
      </c>
    </row>
    <row r="223" s="92" customFormat="1" ht="24" customHeight="1" spans="1:10">
      <c r="B223" s="202" t="s">
        <v>1259</v>
      </c>
      <c r="C223" s="203" t="s">
        <v>1147</v>
      </c>
      <c r="D223" s="202" t="s">
        <v>482</v>
      </c>
      <c r="E223" s="202" t="s">
        <v>208</v>
      </c>
      <c r="F223" s="202">
        <v>40</v>
      </c>
      <c r="G223" s="202">
        <v>66.56</v>
      </c>
      <c r="H223" s="202" t="s">
        <v>53</v>
      </c>
      <c r="I223" s="202" t="str">
        <f>VLOOKUP(H223,Sheet4!A:B,2,)</f>
        <v>polish</v>
      </c>
      <c r="J223" s="228">
        <f>2-2+2-2+2-2</f>
        <v>0</v>
      </c>
    </row>
    <row r="224" s="92" customFormat="1" ht="24" customHeight="1" spans="1:10">
      <c r="B224" s="202" t="s">
        <v>1260</v>
      </c>
      <c r="C224" s="203" t="s">
        <v>1147</v>
      </c>
      <c r="D224" s="203" t="s">
        <v>29</v>
      </c>
      <c r="E224" s="203" t="s">
        <v>208</v>
      </c>
      <c r="F224" s="203">
        <v>32</v>
      </c>
      <c r="G224" s="203">
        <v>66.56</v>
      </c>
      <c r="H224" s="203" t="s">
        <v>53</v>
      </c>
      <c r="I224" s="203" t="str">
        <f>VLOOKUP(H224,Sheet4!A:B,2,)</f>
        <v>polish</v>
      </c>
      <c r="J224" s="205">
        <f>4-2-2+2-2+2-2+2+2-2-2</f>
        <v>0</v>
      </c>
    </row>
    <row r="225" s="92" customFormat="1" ht="24" customHeight="1" spans="1:10">
      <c r="A225" s="62"/>
      <c r="B225" s="233" t="s">
        <v>1260</v>
      </c>
      <c r="C225" s="207" t="s">
        <v>1147</v>
      </c>
      <c r="D225" s="207" t="s">
        <v>225</v>
      </c>
      <c r="E225" s="207" t="s">
        <v>208</v>
      </c>
      <c r="F225" s="207">
        <v>40</v>
      </c>
      <c r="G225" s="207">
        <v>66.56</v>
      </c>
      <c r="H225" s="207" t="s">
        <v>53</v>
      </c>
      <c r="I225" s="207" t="str">
        <f>VLOOKUP(H225,Sheet4!A:B,2,)</f>
        <v>polish</v>
      </c>
      <c r="J225" s="227">
        <f>4-2-2+2-2+2-2+2+2-2-2</f>
        <v>0</v>
      </c>
    </row>
    <row r="226" s="92" customFormat="1" ht="64" customHeight="1" spans="1:10">
      <c r="B226" s="202" t="s">
        <v>1261</v>
      </c>
      <c r="C226" s="203" t="s">
        <v>1147</v>
      </c>
      <c r="D226" s="203" t="s">
        <v>23</v>
      </c>
      <c r="E226" s="252" t="s">
        <v>208</v>
      </c>
      <c r="F226" s="203">
        <v>36</v>
      </c>
      <c r="G226" s="203">
        <v>66.45</v>
      </c>
      <c r="H226" s="203" t="s">
        <v>21</v>
      </c>
      <c r="I226" s="203" t="str">
        <f>VLOOKUP(H226,Sheet4!A:B,2,)</f>
        <v>Black Machine Face</v>
      </c>
      <c r="J226" s="205">
        <v>2</v>
      </c>
    </row>
    <row r="227" s="92" customFormat="1" ht="64" customHeight="1" spans="1:10">
      <c r="A227" s="62"/>
      <c r="B227" s="233" t="s">
        <v>1261</v>
      </c>
      <c r="C227" s="207" t="s">
        <v>1147</v>
      </c>
      <c r="D227" s="207" t="s">
        <v>482</v>
      </c>
      <c r="E227" s="215" t="s">
        <v>208</v>
      </c>
      <c r="F227" s="207">
        <v>43</v>
      </c>
      <c r="G227" s="207">
        <v>66.45</v>
      </c>
      <c r="H227" s="207" t="s">
        <v>21</v>
      </c>
      <c r="I227" s="207" t="str">
        <f>VLOOKUP(H227,Sheet4!A:B,2,)</f>
        <v>Black Machine Face</v>
      </c>
      <c r="J227" s="227">
        <v>2</v>
      </c>
    </row>
    <row r="228" s="92" customFormat="1" ht="64" customHeight="1" spans="1:10">
      <c r="B228" s="202" t="s">
        <v>1262</v>
      </c>
      <c r="C228" s="203" t="s">
        <v>1263</v>
      </c>
      <c r="D228" s="203" t="s">
        <v>1264</v>
      </c>
      <c r="E228" s="252" t="s">
        <v>208</v>
      </c>
      <c r="F228" s="203">
        <v>45</v>
      </c>
      <c r="G228" s="203">
        <v>66.56</v>
      </c>
      <c r="H228" s="203" t="s">
        <v>1122</v>
      </c>
      <c r="I228" s="203"/>
      <c r="J228" s="205">
        <f>4-2</f>
        <v>2</v>
      </c>
    </row>
    <row r="229" s="92" customFormat="1" ht="64" customHeight="1" spans="1:10">
      <c r="B229" s="233" t="s">
        <v>1265</v>
      </c>
      <c r="C229" s="207" t="s">
        <v>1263</v>
      </c>
      <c r="D229" s="207" t="s">
        <v>1266</v>
      </c>
      <c r="E229" s="215" t="s">
        <v>208</v>
      </c>
      <c r="F229" s="207">
        <v>47</v>
      </c>
      <c r="G229" s="207">
        <v>66.56</v>
      </c>
      <c r="H229" s="207" t="s">
        <v>1122</v>
      </c>
      <c r="I229" s="207"/>
      <c r="J229" s="227">
        <f>4-2</f>
        <v>2</v>
      </c>
    </row>
    <row r="230" s="92" customFormat="1" ht="61" customHeight="1" spans="1:10">
      <c r="A230" s="209"/>
      <c r="B230" s="202" t="s">
        <v>1267</v>
      </c>
      <c r="C230" s="203" t="s">
        <v>1268</v>
      </c>
      <c r="D230" s="204" t="s">
        <v>556</v>
      </c>
      <c r="E230" s="203" t="s">
        <v>208</v>
      </c>
      <c r="F230" s="203">
        <v>42</v>
      </c>
      <c r="G230" s="208">
        <v>66.5</v>
      </c>
      <c r="H230" s="203" t="s">
        <v>87</v>
      </c>
      <c r="I230" s="203" t="str">
        <f>VLOOKUP(H230,Sheet4!A:B,2,)</f>
        <v>Gunmetal Machine Face</v>
      </c>
      <c r="J230" s="205">
        <f>4+2</f>
        <v>6</v>
      </c>
    </row>
    <row r="231" s="92" customFormat="1" ht="61" customHeight="1" spans="1:10">
      <c r="A231" s="206"/>
      <c r="B231" s="233" t="s">
        <v>1269</v>
      </c>
      <c r="C231" s="207" t="s">
        <v>1268</v>
      </c>
      <c r="D231" s="232" t="s">
        <v>1024</v>
      </c>
      <c r="E231" s="207" t="s">
        <v>208</v>
      </c>
      <c r="F231" s="207">
        <v>45</v>
      </c>
      <c r="G231" s="216">
        <v>66.5</v>
      </c>
      <c r="H231" s="207" t="s">
        <v>87</v>
      </c>
      <c r="I231" s="207" t="str">
        <f>VLOOKUP(H231,Sheet4!A:B,2,)</f>
        <v>Gunmetal Machine Face</v>
      </c>
      <c r="J231" s="227">
        <f>4+2</f>
        <v>6</v>
      </c>
    </row>
    <row r="232" s="92" customFormat="1" ht="23" customHeight="1" spans="1:10">
      <c r="B232" s="202" t="s">
        <v>1270</v>
      </c>
      <c r="C232" s="203" t="s">
        <v>1271</v>
      </c>
      <c r="D232" s="203" t="s">
        <v>225</v>
      </c>
      <c r="E232" s="203" t="s">
        <v>208</v>
      </c>
      <c r="F232" s="203">
        <v>40</v>
      </c>
      <c r="G232" s="203">
        <v>66.5</v>
      </c>
      <c r="H232" s="203" t="s">
        <v>53</v>
      </c>
      <c r="I232" s="203" t="str">
        <f>VLOOKUP(H232,Sheet4!A:B,2,)</f>
        <v>polish</v>
      </c>
      <c r="J232" s="205">
        <f>4-4+4-4+8-4-4+4-4+8</f>
        <v>8</v>
      </c>
    </row>
    <row r="233" s="92" customFormat="1" ht="23" customHeight="1" spans="1:10">
      <c r="B233" s="202" t="s">
        <v>1272</v>
      </c>
      <c r="C233" s="203" t="s">
        <v>1271</v>
      </c>
      <c r="D233" s="203" t="s">
        <v>556</v>
      </c>
      <c r="E233" s="203" t="s">
        <v>208</v>
      </c>
      <c r="F233" s="203">
        <v>45</v>
      </c>
      <c r="G233" s="203">
        <v>66.5</v>
      </c>
      <c r="H233" s="203" t="s">
        <v>53</v>
      </c>
      <c r="I233" s="203" t="str">
        <f>VLOOKUP(H233,Sheet4!A:B,2,)</f>
        <v>polish</v>
      </c>
      <c r="J233" s="205">
        <f>4</f>
        <v>4</v>
      </c>
    </row>
    <row r="234" s="92" customFormat="1" ht="23" customHeight="1" spans="1:10">
      <c r="B234" s="202" t="s">
        <v>1272</v>
      </c>
      <c r="C234" s="203" t="s">
        <v>1271</v>
      </c>
      <c r="D234" s="203" t="s">
        <v>1024</v>
      </c>
      <c r="E234" s="203" t="s">
        <v>208</v>
      </c>
      <c r="F234" s="203">
        <v>45</v>
      </c>
      <c r="G234" s="203">
        <v>66.5</v>
      </c>
      <c r="H234" s="203" t="s">
        <v>53</v>
      </c>
      <c r="I234" s="203" t="str">
        <f>VLOOKUP(H234,Sheet4!A:B,2,)</f>
        <v>polish</v>
      </c>
      <c r="J234" s="205">
        <f>4</f>
        <v>4</v>
      </c>
    </row>
    <row r="235" s="92" customFormat="1" ht="23" customHeight="1" spans="1:10">
      <c r="B235" s="202" t="s">
        <v>1273</v>
      </c>
      <c r="C235" s="203" t="s">
        <v>1271</v>
      </c>
      <c r="D235" s="203" t="s">
        <v>34</v>
      </c>
      <c r="E235" s="203" t="s">
        <v>208</v>
      </c>
      <c r="F235" s="203">
        <v>45</v>
      </c>
      <c r="G235" s="203">
        <v>66.5</v>
      </c>
      <c r="H235" s="203" t="s">
        <v>53</v>
      </c>
      <c r="I235" s="203" t="str">
        <f>VLOOKUP(H235,Sheet4!A:B,2,)</f>
        <v>polish</v>
      </c>
      <c r="J235" s="205">
        <f>0+2+2-2+2-2-2+2-2</f>
        <v>0</v>
      </c>
    </row>
    <row r="236" s="92" customFormat="1" ht="23" customHeight="1" spans="1:10">
      <c r="A236" s="62"/>
      <c r="B236" s="233" t="s">
        <v>1273</v>
      </c>
      <c r="C236" s="207" t="s">
        <v>1271</v>
      </c>
      <c r="D236" s="207" t="s">
        <v>1274</v>
      </c>
      <c r="E236" s="207" t="s">
        <v>208</v>
      </c>
      <c r="F236" s="207">
        <v>47</v>
      </c>
      <c r="G236" s="207">
        <v>66.5</v>
      </c>
      <c r="H236" s="207" t="s">
        <v>53</v>
      </c>
      <c r="I236" s="207" t="str">
        <f>VLOOKUP(H236,Sheet4!A:B,2,)</f>
        <v>polish</v>
      </c>
      <c r="J236" s="227">
        <f>0+2+2-2+2-2-2+2-2</f>
        <v>0</v>
      </c>
    </row>
    <row r="237" s="92" customFormat="1" ht="110" customHeight="1" spans="1:10">
      <c r="A237" s="62"/>
      <c r="B237" s="233" t="s">
        <v>1275</v>
      </c>
      <c r="C237" s="207" t="s">
        <v>1271</v>
      </c>
      <c r="D237" s="207" t="s">
        <v>1266</v>
      </c>
      <c r="E237" s="207" t="s">
        <v>208</v>
      </c>
      <c r="F237" s="207">
        <v>47</v>
      </c>
      <c r="G237" s="207">
        <v>66.56</v>
      </c>
      <c r="H237" s="207" t="s">
        <v>53</v>
      </c>
      <c r="I237" s="207" t="str">
        <f>VLOOKUP(H237,Sheet4!A:B,2,)</f>
        <v>polish</v>
      </c>
      <c r="J237" s="227">
        <f>3-2</f>
        <v>1</v>
      </c>
    </row>
    <row r="238" s="92" customFormat="1" ht="23" customHeight="1" spans="1:10">
      <c r="B238" s="202" t="s">
        <v>1276</v>
      </c>
      <c r="C238" s="203" t="s">
        <v>1271</v>
      </c>
      <c r="D238" s="203" t="s">
        <v>19</v>
      </c>
      <c r="E238" s="203" t="s">
        <v>208</v>
      </c>
      <c r="F238" s="203">
        <v>42</v>
      </c>
      <c r="G238" s="203">
        <v>66.56</v>
      </c>
      <c r="H238" s="203" t="s">
        <v>53</v>
      </c>
      <c r="I238" s="203" t="str">
        <f>VLOOKUP(H238,Sheet4!A:B,2,)</f>
        <v>polish</v>
      </c>
      <c r="J238" s="205">
        <f>8+4</f>
        <v>12</v>
      </c>
    </row>
    <row r="239" s="92" customFormat="1" ht="25" customHeight="1" spans="1:10">
      <c r="A239" s="257"/>
      <c r="B239" s="225" t="s">
        <v>1277</v>
      </c>
      <c r="C239" s="203" t="s">
        <v>1271</v>
      </c>
      <c r="D239" s="203" t="s">
        <v>556</v>
      </c>
      <c r="E239" s="203" t="s">
        <v>208</v>
      </c>
      <c r="F239" s="203">
        <v>45</v>
      </c>
      <c r="G239" s="203">
        <v>66.56</v>
      </c>
      <c r="H239" s="203" t="s">
        <v>53</v>
      </c>
      <c r="I239" s="203" t="str">
        <f>VLOOKUP(H239,Sheet4!A:B,2,)</f>
        <v>polish</v>
      </c>
      <c r="J239" s="205">
        <f>2-2+1-1+2-2+2-2+4+2-4-2+8-2-2-2-2+2-2+4-2-2+2+4-2-2+4-2-2-2+4+4-2+2-4-2-2+2</f>
        <v>2</v>
      </c>
    </row>
    <row r="240" s="92" customFormat="1" ht="25" customHeight="1" spans="1:10">
      <c r="A240" s="257"/>
      <c r="B240" s="225" t="s">
        <v>1277</v>
      </c>
      <c r="C240" s="203" t="s">
        <v>1271</v>
      </c>
      <c r="D240" s="203" t="s">
        <v>1024</v>
      </c>
      <c r="E240" s="203" t="s">
        <v>208</v>
      </c>
      <c r="F240" s="203">
        <v>45</v>
      </c>
      <c r="G240" s="203">
        <v>66.56</v>
      </c>
      <c r="H240" s="203" t="s">
        <v>53</v>
      </c>
      <c r="I240" s="203" t="str">
        <f>VLOOKUP(H240,Sheet4!A:B,2,)</f>
        <v>polish</v>
      </c>
      <c r="J240" s="205">
        <f>2-2+2-2+2-2+2-2+8-2-2-2-2+2-2+4-2-2+2+4-2-2+4-2-2-2+4+4-2+2-2</f>
        <v>6</v>
      </c>
    </row>
    <row r="241" s="92" customFormat="1" ht="25" customHeight="1" spans="1:10">
      <c r="A241" s="257"/>
      <c r="B241" s="225" t="s">
        <v>1278</v>
      </c>
      <c r="C241" s="203" t="s">
        <v>1271</v>
      </c>
      <c r="D241" s="203" t="s">
        <v>343</v>
      </c>
      <c r="E241" s="203" t="s">
        <v>208</v>
      </c>
      <c r="F241" s="202">
        <v>45</v>
      </c>
      <c r="G241" s="203">
        <v>66.56</v>
      </c>
      <c r="H241" s="203" t="s">
        <v>53</v>
      </c>
      <c r="I241" s="203" t="str">
        <f>VLOOKUP(H241,Sheet4!A:B,2,)</f>
        <v>polish</v>
      </c>
      <c r="J241" s="205">
        <f>6-4-2+6+2-2-2+8-2-2-2-2+6-4-2-2-2+6-2+4-2-2-2+4-2-2-2+4-2-2+4-2+2-2+4-2-2-2+4+4-2-2-2-2+4-2+2-2-2+2+2-2+4-2-2+6-2-2+2-2-4+6-2+2-2-2-2+14-2-4-2-4+20-2-4-2-2-2+2-2-2-4-2-2</f>
        <v>0</v>
      </c>
    </row>
    <row r="242" s="92" customFormat="1" ht="25" customHeight="1" spans="1:10">
      <c r="A242" s="257"/>
      <c r="B242" s="225" t="s">
        <v>1278</v>
      </c>
      <c r="C242" s="203" t="s">
        <v>1271</v>
      </c>
      <c r="D242" s="202" t="s">
        <v>1279</v>
      </c>
      <c r="E242" s="203" t="s">
        <v>208</v>
      </c>
      <c r="F242" s="202">
        <v>45</v>
      </c>
      <c r="G242" s="203">
        <v>66.56</v>
      </c>
      <c r="H242" s="203" t="s">
        <v>53</v>
      </c>
      <c r="I242" s="203" t="str">
        <f>VLOOKUP(H242,Sheet4!A:B,2,)</f>
        <v>polish</v>
      </c>
      <c r="J242" s="205">
        <f>6-4-2+6+2-2-2+4-2-2-2-2+6-2-2-2+6-2+4-2-2-2+4-2-2-2+4-2-2+4-2-1+2+1-2+4-2-2-2+4+4-2-2-2-2+4-2+2-2-2+2+2-2+4-2-2+6-2-2+2-2-4+6-2+2-2-2-2+14-2-4-2-1-4+19-2-2-2-2+2-2-4-2-2-2</f>
        <v>2</v>
      </c>
    </row>
    <row r="243" s="92" customFormat="1" ht="25" customHeight="1" spans="1:10">
      <c r="A243" s="257"/>
      <c r="B243" s="225" t="s">
        <v>1280</v>
      </c>
      <c r="C243" s="203" t="s">
        <v>1271</v>
      </c>
      <c r="D243" s="203" t="s">
        <v>1264</v>
      </c>
      <c r="E243" s="203" t="s">
        <v>208</v>
      </c>
      <c r="F243" s="203">
        <v>45</v>
      </c>
      <c r="G243" s="203">
        <v>66.56</v>
      </c>
      <c r="H243" s="203" t="s">
        <v>53</v>
      </c>
      <c r="I243" s="203" t="str">
        <f>VLOOKUP(H243,Sheet4!A:B,2,)</f>
        <v>polish</v>
      </c>
      <c r="J243" s="205">
        <f>2-2+4-2-2+2-2+4-2-2+2-2+4-2+4-2-2+2-2-2+4+2-2-2-2+16-4+2-2-2-2</f>
        <v>8</v>
      </c>
    </row>
    <row r="244" s="92" customFormat="1" ht="25" customHeight="1" spans="1:10">
      <c r="A244" s="258"/>
      <c r="B244" s="217" t="s">
        <v>1280</v>
      </c>
      <c r="C244" s="207" t="s">
        <v>1271</v>
      </c>
      <c r="D244" s="207" t="s">
        <v>1266</v>
      </c>
      <c r="E244" s="207" t="s">
        <v>208</v>
      </c>
      <c r="F244" s="207">
        <v>47</v>
      </c>
      <c r="G244" s="207">
        <v>66.56</v>
      </c>
      <c r="H244" s="207" t="s">
        <v>53</v>
      </c>
      <c r="I244" s="207" t="str">
        <f>VLOOKUP(H244,Sheet4!A:B,2,)</f>
        <v>polish</v>
      </c>
      <c r="J244" s="227">
        <f>2-2+4-2-2+2-2+4-2-2+2-2+4-2+4-2-2+2-2-2+4+2-2-2-2+16-4+2-2-2-2-1</f>
        <v>7</v>
      </c>
    </row>
    <row r="245" s="92" customFormat="1" ht="23" customHeight="1" spans="1:10">
      <c r="B245" s="202" t="s">
        <v>1281</v>
      </c>
      <c r="C245" s="203" t="s">
        <v>1271</v>
      </c>
      <c r="D245" s="203" t="s">
        <v>19</v>
      </c>
      <c r="E245" s="203" t="s">
        <v>208</v>
      </c>
      <c r="F245" s="203">
        <v>42</v>
      </c>
      <c r="G245" s="203">
        <v>66.5</v>
      </c>
      <c r="H245" s="203" t="s">
        <v>21</v>
      </c>
      <c r="I245" s="203" t="str">
        <f>VLOOKUP(H245,Sheet4!A:B,2,)</f>
        <v>Black Machine Face</v>
      </c>
      <c r="J245" s="205">
        <f>4+8-4</f>
        <v>8</v>
      </c>
    </row>
    <row r="246" s="92" customFormat="1" ht="23" customHeight="1" spans="1:10">
      <c r="B246" s="202" t="s">
        <v>1282</v>
      </c>
      <c r="C246" s="203" t="s">
        <v>1271</v>
      </c>
      <c r="D246" s="203" t="s">
        <v>556</v>
      </c>
      <c r="E246" s="203" t="s">
        <v>208</v>
      </c>
      <c r="F246" s="203">
        <v>45</v>
      </c>
      <c r="G246" s="203">
        <v>66.5</v>
      </c>
      <c r="H246" s="203" t="s">
        <v>21</v>
      </c>
      <c r="I246" s="203" t="str">
        <f>VLOOKUP(H246,Sheet4!A:B,2,)</f>
        <v>Black Machine Face</v>
      </c>
      <c r="J246" s="205">
        <f>2-2+6-2+8+2-2-2-2-2+2-4-2+2+4-4-2+8-2-2-2+10-2-2-4+6+2-4-2-4-2+2+6-2-2+2-4-1-2+12-2-4-2</f>
        <v>5</v>
      </c>
    </row>
    <row r="247" s="92" customFormat="1" ht="23" customHeight="1" spans="1:10">
      <c r="B247" s="202" t="s">
        <v>1282</v>
      </c>
      <c r="C247" s="203" t="s">
        <v>1271</v>
      </c>
      <c r="D247" s="203" t="s">
        <v>1024</v>
      </c>
      <c r="E247" s="203" t="s">
        <v>208</v>
      </c>
      <c r="F247" s="203">
        <v>47</v>
      </c>
      <c r="G247" s="203">
        <v>66.5</v>
      </c>
      <c r="H247" s="203" t="s">
        <v>21</v>
      </c>
      <c r="I247" s="203" t="str">
        <f>VLOOKUP(H247,Sheet4!A:B,2,)</f>
        <v>Black Machine Face</v>
      </c>
      <c r="J247" s="205">
        <f>2-2+2-2+8+2-2-2-2-2+2-2+2-2+4-2-2-2+6-2-2+2-2-2+2+6-2-2+2-2-2-2</f>
        <v>0</v>
      </c>
    </row>
    <row r="248" s="92" customFormat="1" ht="23" customHeight="1" spans="1:10">
      <c r="B248" s="202" t="s">
        <v>1283</v>
      </c>
      <c r="C248" s="203" t="s">
        <v>1271</v>
      </c>
      <c r="D248" s="259" t="s">
        <v>34</v>
      </c>
      <c r="E248" s="203" t="s">
        <v>208</v>
      </c>
      <c r="F248" s="203">
        <v>45</v>
      </c>
      <c r="G248" s="203">
        <v>66.5</v>
      </c>
      <c r="H248" s="203" t="s">
        <v>21</v>
      </c>
      <c r="I248" s="203" t="str">
        <f>VLOOKUP(H248,Sheet4!A:B,2,)</f>
        <v>Black Machine Face</v>
      </c>
      <c r="J248" s="228">
        <f>18-2+2-2-2-2</f>
        <v>12</v>
      </c>
    </row>
    <row r="249" s="92" customFormat="1" ht="23" customHeight="1" spans="1:10">
      <c r="B249" s="202" t="s">
        <v>1283</v>
      </c>
      <c r="C249" s="203" t="s">
        <v>1271</v>
      </c>
      <c r="D249" s="259" t="s">
        <v>1274</v>
      </c>
      <c r="E249" s="203" t="s">
        <v>208</v>
      </c>
      <c r="F249" s="203">
        <v>47</v>
      </c>
      <c r="G249" s="203">
        <v>66.5</v>
      </c>
      <c r="H249" s="203" t="s">
        <v>21</v>
      </c>
      <c r="I249" s="203" t="str">
        <f>VLOOKUP(H249,Sheet4!A:B,2,)</f>
        <v>Black Machine Face</v>
      </c>
      <c r="J249" s="228">
        <f>18-2+2-2-2-2</f>
        <v>12</v>
      </c>
    </row>
    <row r="250" s="92" customFormat="1" ht="23" customHeight="1" spans="1:10">
      <c r="B250" s="202" t="s">
        <v>1284</v>
      </c>
      <c r="C250" s="203" t="s">
        <v>1271</v>
      </c>
      <c r="D250" s="203" t="s">
        <v>1264</v>
      </c>
      <c r="E250" s="203" t="s">
        <v>208</v>
      </c>
      <c r="F250" s="203">
        <v>45</v>
      </c>
      <c r="G250" s="203">
        <v>66.5</v>
      </c>
      <c r="H250" s="203" t="s">
        <v>21</v>
      </c>
      <c r="I250" s="203" t="str">
        <f>VLOOKUP(H250,Sheet4!A:B,2,)</f>
        <v>Black Machine Face</v>
      </c>
      <c r="J250" s="228">
        <f t="shared" ref="J250:J253" si="0">2-2</f>
        <v>0</v>
      </c>
    </row>
    <row r="251" s="92" customFormat="1" ht="23" customHeight="1" spans="1:10">
      <c r="B251" s="202" t="s">
        <v>1284</v>
      </c>
      <c r="C251" s="203" t="s">
        <v>1271</v>
      </c>
      <c r="D251" s="203" t="s">
        <v>1266</v>
      </c>
      <c r="E251" s="203" t="s">
        <v>208</v>
      </c>
      <c r="F251" s="203">
        <v>47</v>
      </c>
      <c r="G251" s="203">
        <v>66.5</v>
      </c>
      <c r="H251" s="203" t="s">
        <v>21</v>
      </c>
      <c r="I251" s="203" t="str">
        <f>VLOOKUP(H251,Sheet4!A:B,2,)</f>
        <v>Black Machine Face</v>
      </c>
      <c r="J251" s="228">
        <f t="shared" si="0"/>
        <v>0</v>
      </c>
    </row>
    <row r="252" s="92" customFormat="1" ht="23" customHeight="1" spans="1:10">
      <c r="B252" s="202" t="s">
        <v>1285</v>
      </c>
      <c r="C252" s="203" t="s">
        <v>1271</v>
      </c>
      <c r="D252" s="203" t="s">
        <v>1264</v>
      </c>
      <c r="E252" s="203" t="s">
        <v>208</v>
      </c>
      <c r="F252" s="203">
        <v>45</v>
      </c>
      <c r="G252" s="203">
        <v>66.5</v>
      </c>
      <c r="H252" s="203" t="s">
        <v>87</v>
      </c>
      <c r="I252" s="203" t="str">
        <f>VLOOKUP(H252,Sheet4!A:B,2,)</f>
        <v>Gunmetal Machine Face</v>
      </c>
      <c r="J252" s="228">
        <f>2-2+2</f>
        <v>2</v>
      </c>
    </row>
    <row r="253" s="92" customFormat="1" ht="23" customHeight="1" spans="1:10">
      <c r="A253" s="62"/>
      <c r="B253" s="233" t="s">
        <v>1285</v>
      </c>
      <c r="C253" s="207" t="s">
        <v>1271</v>
      </c>
      <c r="D253" s="207" t="s">
        <v>1266</v>
      </c>
      <c r="E253" s="207" t="s">
        <v>208</v>
      </c>
      <c r="F253" s="207">
        <v>47</v>
      </c>
      <c r="G253" s="207">
        <v>66.5</v>
      </c>
      <c r="H253" s="207" t="s">
        <v>87</v>
      </c>
      <c r="I253" s="207" t="str">
        <f>VLOOKUP(H253,Sheet4!A:B,2,)</f>
        <v>Gunmetal Machine Face</v>
      </c>
      <c r="J253" s="251">
        <f>2-2+2</f>
        <v>2</v>
      </c>
    </row>
    <row r="254" s="92" customFormat="1" ht="33" customHeight="1" spans="1:10">
      <c r="B254" s="225" t="s">
        <v>1286</v>
      </c>
      <c r="C254" s="203" t="s">
        <v>1271</v>
      </c>
      <c r="D254" s="203" t="s">
        <v>343</v>
      </c>
      <c r="E254" s="203" t="s">
        <v>208</v>
      </c>
      <c r="F254" s="203">
        <v>47</v>
      </c>
      <c r="G254" s="203">
        <v>66.5</v>
      </c>
      <c r="H254" s="203" t="s">
        <v>16</v>
      </c>
      <c r="I254" s="203" t="str">
        <f>VLOOKUP(H254,Sheet4!A:B,2,)</f>
        <v>GLOSS BLACK</v>
      </c>
      <c r="J254" s="205">
        <f>3-2+1-2+2-2+2-2+2-2+2-2+4-4</f>
        <v>0</v>
      </c>
    </row>
    <row r="255" s="92" customFormat="1" ht="33" customHeight="1" spans="1:10">
      <c r="B255" s="225" t="s">
        <v>1287</v>
      </c>
      <c r="C255" s="203" t="s">
        <v>1271</v>
      </c>
      <c r="D255" s="203" t="s">
        <v>1274</v>
      </c>
      <c r="E255" s="203" t="s">
        <v>208</v>
      </c>
      <c r="F255" s="203">
        <v>47</v>
      </c>
      <c r="G255" s="203">
        <v>66.5</v>
      </c>
      <c r="H255" s="203" t="s">
        <v>16</v>
      </c>
      <c r="I255" s="203" t="str">
        <f>VLOOKUP(H255,Sheet4!A:B,2,)</f>
        <v>GLOSS BLACK</v>
      </c>
      <c r="J255" s="205">
        <f>4-2-2+2-2+2-2+2-2+2-2+4-4</f>
        <v>0</v>
      </c>
    </row>
    <row r="256" s="92" customFormat="1" ht="33" customHeight="1" spans="1:10">
      <c r="B256" s="225" t="s">
        <v>1288</v>
      </c>
      <c r="C256" s="203" t="s">
        <v>1271</v>
      </c>
      <c r="D256" s="203" t="s">
        <v>431</v>
      </c>
      <c r="E256" s="203" t="s">
        <v>208</v>
      </c>
      <c r="F256" s="203">
        <v>45</v>
      </c>
      <c r="G256" s="203">
        <v>66.5</v>
      </c>
      <c r="H256" s="203" t="s">
        <v>16</v>
      </c>
      <c r="I256" s="203" t="str">
        <f>VLOOKUP(H256,Sheet4!A:B,2,)</f>
        <v>GLOSS BLACK</v>
      </c>
      <c r="J256" s="205">
        <f>6</f>
        <v>6</v>
      </c>
    </row>
    <row r="257" s="92" customFormat="1" ht="33" customHeight="1" spans="1:10">
      <c r="A257" s="62"/>
      <c r="B257" s="217" t="s">
        <v>1288</v>
      </c>
      <c r="C257" s="207" t="s">
        <v>1271</v>
      </c>
      <c r="D257" s="207" t="s">
        <v>1266</v>
      </c>
      <c r="E257" s="207" t="s">
        <v>208</v>
      </c>
      <c r="F257" s="207">
        <v>47</v>
      </c>
      <c r="G257" s="207">
        <v>66.5</v>
      </c>
      <c r="H257" s="207" t="s">
        <v>16</v>
      </c>
      <c r="I257" s="207" t="str">
        <f>VLOOKUP(H257,Sheet4!A:B,2,)</f>
        <v>GLOSS BLACK</v>
      </c>
      <c r="J257" s="227">
        <f>6</f>
        <v>6</v>
      </c>
    </row>
    <row r="258" s="92" customFormat="1" ht="23" customHeight="1" spans="1:10">
      <c r="B258" s="204" t="s">
        <v>1289</v>
      </c>
      <c r="C258" s="236" t="s">
        <v>1271</v>
      </c>
      <c r="D258" s="236" t="s">
        <v>556</v>
      </c>
      <c r="E258" s="236" t="s">
        <v>208</v>
      </c>
      <c r="F258" s="203">
        <v>44</v>
      </c>
      <c r="G258" s="203">
        <v>66.56</v>
      </c>
      <c r="H258" s="236" t="s">
        <v>1095</v>
      </c>
      <c r="I258" s="236" t="str">
        <f>VLOOKUP(H258,Sheet4!A:B,2,)</f>
        <v>MATTE Black LIP</v>
      </c>
      <c r="J258" s="205">
        <f>8-4</f>
        <v>4</v>
      </c>
    </row>
    <row r="259" s="92" customFormat="1" ht="23" customHeight="1" spans="1:10">
      <c r="B259" s="204" t="s">
        <v>1289</v>
      </c>
      <c r="C259" s="236" t="s">
        <v>1271</v>
      </c>
      <c r="D259" s="236" t="s">
        <v>1024</v>
      </c>
      <c r="E259" s="236" t="s">
        <v>208</v>
      </c>
      <c r="F259" s="203">
        <v>42</v>
      </c>
      <c r="G259" s="203">
        <v>66.56</v>
      </c>
      <c r="H259" s="236" t="s">
        <v>1095</v>
      </c>
      <c r="I259" s="236" t="str">
        <f>VLOOKUP(H259,Sheet4!A:B,2,)</f>
        <v>MATTE Black LIP</v>
      </c>
      <c r="J259" s="205">
        <f>8-4</f>
        <v>4</v>
      </c>
    </row>
    <row r="260" s="92" customFormat="1" ht="23" customHeight="1" spans="1:10">
      <c r="B260" s="204" t="s">
        <v>1290</v>
      </c>
      <c r="C260" s="236" t="s">
        <v>1271</v>
      </c>
      <c r="D260" s="236" t="s">
        <v>556</v>
      </c>
      <c r="E260" s="236" t="s">
        <v>208</v>
      </c>
      <c r="F260" s="203">
        <v>44</v>
      </c>
      <c r="G260" s="203">
        <v>66.56</v>
      </c>
      <c r="H260" s="236" t="s">
        <v>1093</v>
      </c>
      <c r="I260" s="260" t="str">
        <f>VLOOKUP(H260,Sheet4!A:B,2,)</f>
        <v>Matt Black Machine Red Lip</v>
      </c>
      <c r="J260" s="205">
        <f>2-2+2-2+2-2</f>
        <v>0</v>
      </c>
    </row>
    <row r="261" s="92" customFormat="1" ht="23" customHeight="1" spans="1:10">
      <c r="B261" s="204" t="s">
        <v>1290</v>
      </c>
      <c r="C261" s="236" t="s">
        <v>1271</v>
      </c>
      <c r="D261" s="236" t="s">
        <v>1024</v>
      </c>
      <c r="E261" s="236" t="s">
        <v>208</v>
      </c>
      <c r="F261" s="203">
        <v>42</v>
      </c>
      <c r="G261" s="203">
        <v>66.56</v>
      </c>
      <c r="H261" s="236" t="s">
        <v>1093</v>
      </c>
      <c r="I261" s="260" t="str">
        <f>VLOOKUP(H261,Sheet4!A:B,2,)</f>
        <v>Matt Black Machine Red Lip</v>
      </c>
      <c r="J261" s="205">
        <f>2-2+2-2+2-2</f>
        <v>0</v>
      </c>
    </row>
    <row r="262" s="92" customFormat="1" ht="23" customHeight="1" spans="1:10">
      <c r="B262" s="204" t="s">
        <v>1291</v>
      </c>
      <c r="C262" s="236" t="s">
        <v>1271</v>
      </c>
      <c r="D262" s="236" t="s">
        <v>343</v>
      </c>
      <c r="E262" s="236" t="s">
        <v>208</v>
      </c>
      <c r="F262" s="203">
        <v>44</v>
      </c>
      <c r="G262" s="203">
        <v>66.56</v>
      </c>
      <c r="H262" s="236" t="s">
        <v>1095</v>
      </c>
      <c r="I262" s="236" t="str">
        <f>VLOOKUP(H262,Sheet4!A:B,2,)</f>
        <v>MATTE Black LIP</v>
      </c>
      <c r="J262" s="205">
        <f>14-2</f>
        <v>12</v>
      </c>
    </row>
    <row r="263" s="92" customFormat="1" ht="23" customHeight="1" spans="1:10">
      <c r="A263" s="62"/>
      <c r="B263" s="232" t="s">
        <v>1291</v>
      </c>
      <c r="C263" s="237" t="s">
        <v>1271</v>
      </c>
      <c r="D263" s="237" t="s">
        <v>1292</v>
      </c>
      <c r="E263" s="237" t="s">
        <v>208</v>
      </c>
      <c r="F263" s="207">
        <v>42</v>
      </c>
      <c r="G263" s="207">
        <v>66.56</v>
      </c>
      <c r="H263" s="237" t="s">
        <v>1095</v>
      </c>
      <c r="I263" s="237" t="str">
        <f>VLOOKUP(H263,Sheet4!A:B,2,)</f>
        <v>MATTE Black LIP</v>
      </c>
      <c r="J263" s="227">
        <f>14-2</f>
        <v>12</v>
      </c>
    </row>
    <row r="264" s="92" customFormat="1" ht="28" customHeight="1" spans="1:10">
      <c r="B264" s="202" t="s">
        <v>1293</v>
      </c>
      <c r="C264" s="203" t="s">
        <v>1271</v>
      </c>
      <c r="D264" s="203" t="s">
        <v>23</v>
      </c>
      <c r="E264" s="203" t="s">
        <v>208</v>
      </c>
      <c r="F264" s="203">
        <v>38</v>
      </c>
      <c r="G264" s="203">
        <v>66.5</v>
      </c>
      <c r="H264" s="203" t="s">
        <v>21</v>
      </c>
      <c r="I264" s="203" t="str">
        <f>VLOOKUP(H264,Sheet4!A:B,2,)</f>
        <v>Black Machine Face</v>
      </c>
      <c r="J264" s="228">
        <f>8-4-4+4-4+4+4-4-4+8-4-4</f>
        <v>0</v>
      </c>
    </row>
    <row r="265" s="92" customFormat="1" ht="28" customHeight="1" spans="1:10">
      <c r="B265" s="202" t="s">
        <v>1294</v>
      </c>
      <c r="C265" s="203" t="s">
        <v>1271</v>
      </c>
      <c r="D265" s="203" t="s">
        <v>23</v>
      </c>
      <c r="E265" s="203" t="s">
        <v>208</v>
      </c>
      <c r="F265" s="203">
        <v>38</v>
      </c>
      <c r="G265" s="203">
        <v>66.5</v>
      </c>
      <c r="H265" s="203" t="s">
        <v>87</v>
      </c>
      <c r="I265" s="203" t="str">
        <f>VLOOKUP(H265,Sheet4!A:B,2,)</f>
        <v>Gunmetal Machine Face</v>
      </c>
      <c r="J265" s="228">
        <f>8-4+4-4-4+8-4-4+4-4+4-4+4-4+12-4</f>
        <v>8</v>
      </c>
    </row>
    <row r="266" s="92" customFormat="1" ht="28" customHeight="1" spans="1:10">
      <c r="B266" s="202" t="s">
        <v>1295</v>
      </c>
      <c r="C266" s="203" t="s">
        <v>1271</v>
      </c>
      <c r="D266" s="203" t="s">
        <v>19</v>
      </c>
      <c r="E266" s="203" t="s">
        <v>208</v>
      </c>
      <c r="F266" s="203">
        <v>42</v>
      </c>
      <c r="G266" s="203">
        <v>66.5</v>
      </c>
      <c r="H266" s="203" t="s">
        <v>21</v>
      </c>
      <c r="I266" s="203" t="str">
        <f>VLOOKUP(H266,Sheet4!A:B,2,)</f>
        <v>Black Machine Face</v>
      </c>
      <c r="J266" s="228">
        <f>13-1-4-4+4</f>
        <v>8</v>
      </c>
    </row>
    <row r="267" s="92" customFormat="1" ht="28" customHeight="1" spans="1:10">
      <c r="B267" s="202" t="s">
        <v>1296</v>
      </c>
      <c r="C267" s="203" t="s">
        <v>1271</v>
      </c>
      <c r="D267" s="203" t="s">
        <v>19</v>
      </c>
      <c r="E267" s="203" t="s">
        <v>208</v>
      </c>
      <c r="F267" s="203">
        <v>42</v>
      </c>
      <c r="G267" s="203">
        <v>66.5</v>
      </c>
      <c r="H267" s="203" t="s">
        <v>87</v>
      </c>
      <c r="I267" s="203" t="str">
        <f>VLOOKUP(H267,Sheet4!A:B,2,)</f>
        <v>Gunmetal Machine Face</v>
      </c>
      <c r="J267" s="228">
        <f>8-4-4+8-4-4+4-4+12-4-2-4+2-4+4-4+4-4+8-4-4+4+4-4+4-4-4+12-4+4-4-4-4+4-4+12</f>
        <v>12</v>
      </c>
    </row>
    <row r="268" s="92" customFormat="1" ht="28" customHeight="1" spans="1:10">
      <c r="B268" s="202" t="s">
        <v>1297</v>
      </c>
      <c r="C268" s="203" t="s">
        <v>1271</v>
      </c>
      <c r="D268" s="203" t="s">
        <v>556</v>
      </c>
      <c r="E268" s="203" t="s">
        <v>208</v>
      </c>
      <c r="F268" s="203">
        <v>45</v>
      </c>
      <c r="G268" s="203">
        <v>66.5</v>
      </c>
      <c r="H268" s="203" t="s">
        <v>21</v>
      </c>
      <c r="I268" s="203" t="str">
        <f>VLOOKUP(H268,Sheet4!A:B,2,)</f>
        <v>Black Machine Face</v>
      </c>
      <c r="J268" s="228">
        <v>1</v>
      </c>
    </row>
    <row r="269" s="92" customFormat="1" ht="28" customHeight="1" spans="1:10">
      <c r="A269" s="261"/>
      <c r="B269" s="202" t="s">
        <v>1298</v>
      </c>
      <c r="C269" s="203" t="s">
        <v>1271</v>
      </c>
      <c r="D269" s="203" t="s">
        <v>556</v>
      </c>
      <c r="E269" s="203" t="s">
        <v>208</v>
      </c>
      <c r="F269" s="203">
        <v>48</v>
      </c>
      <c r="G269" s="203">
        <v>66.56</v>
      </c>
      <c r="H269" s="203" t="s">
        <v>21</v>
      </c>
      <c r="I269" s="203" t="str">
        <f>VLOOKUP(H269,Sheet4!A:B,2,)</f>
        <v>Black Machine Face</v>
      </c>
      <c r="J269" s="228">
        <v>0</v>
      </c>
    </row>
    <row r="270" s="92" customFormat="1" ht="28" customHeight="1" spans="1:10">
      <c r="B270" s="202" t="s">
        <v>1298</v>
      </c>
      <c r="C270" s="203" t="s">
        <v>1271</v>
      </c>
      <c r="D270" s="203" t="s">
        <v>1024</v>
      </c>
      <c r="E270" s="203" t="s">
        <v>208</v>
      </c>
      <c r="F270" s="203">
        <v>49</v>
      </c>
      <c r="G270" s="203">
        <v>66.56</v>
      </c>
      <c r="H270" s="203" t="s">
        <v>21</v>
      </c>
      <c r="I270" s="203" t="str">
        <f>VLOOKUP(H270,Sheet4!A:B,2,)</f>
        <v>Black Machine Face</v>
      </c>
      <c r="J270" s="228">
        <v>0</v>
      </c>
    </row>
    <row r="271" s="92" customFormat="1" ht="28" customHeight="1" spans="1:10">
      <c r="B271" s="202" t="s">
        <v>1299</v>
      </c>
      <c r="C271" s="203" t="s">
        <v>1271</v>
      </c>
      <c r="D271" s="203" t="s">
        <v>556</v>
      </c>
      <c r="E271" s="203" t="s">
        <v>208</v>
      </c>
      <c r="F271" s="203" t="s">
        <v>1300</v>
      </c>
      <c r="G271" s="203">
        <v>66.56</v>
      </c>
      <c r="H271" s="203" t="s">
        <v>87</v>
      </c>
      <c r="I271" s="203" t="str">
        <f>VLOOKUP(H271,Sheet4!A:B,2,)</f>
        <v>Gunmetal Machine Face</v>
      </c>
      <c r="J271" s="228">
        <f>8-2-2+4-2-2-4+6-4-2+2-2+6-1+1-2+4-2-1+1+1-2+2-4+6-2-2+8-2</f>
        <v>11</v>
      </c>
    </row>
    <row r="272" s="92" customFormat="1" ht="28" customHeight="1" spans="1:10">
      <c r="A272" s="62"/>
      <c r="B272" s="233" t="s">
        <v>1299</v>
      </c>
      <c r="C272" s="207" t="s">
        <v>1271</v>
      </c>
      <c r="D272" s="207" t="s">
        <v>1024</v>
      </c>
      <c r="E272" s="207" t="s">
        <v>208</v>
      </c>
      <c r="F272" s="207">
        <v>45</v>
      </c>
      <c r="G272" s="207">
        <v>66.56</v>
      </c>
      <c r="H272" s="207" t="s">
        <v>87</v>
      </c>
      <c r="I272" s="207" t="str">
        <f>VLOOKUP(H272,Sheet4!A:B,2,)</f>
        <v>Gunmetal Machine Face</v>
      </c>
      <c r="J272" s="251">
        <f>4-2-2+4-2-2+2-2+2-2+4-2-2+2+2-2-2+4-2</f>
        <v>2</v>
      </c>
    </row>
    <row r="273" s="11" customFormat="1" ht="42" customHeight="1" spans="1:10">
      <c r="A273" s="92"/>
      <c r="B273" s="262" t="s">
        <v>1301</v>
      </c>
      <c r="C273" s="203" t="s">
        <v>1271</v>
      </c>
      <c r="D273" s="203" t="s">
        <v>343</v>
      </c>
      <c r="E273" s="203" t="s">
        <v>208</v>
      </c>
      <c r="F273" s="203">
        <v>45</v>
      </c>
      <c r="G273" s="203">
        <v>66.56</v>
      </c>
      <c r="H273" s="203" t="s">
        <v>637</v>
      </c>
      <c r="I273" s="203" t="str">
        <f>VLOOKUP(H273,Sheet4!A:B,2,)</f>
        <v>MATTE Black LIP</v>
      </c>
      <c r="J273" s="205">
        <f>12-2-2+2-2-2-1+1-2+2-2-2</f>
        <v>2</v>
      </c>
    </row>
    <row r="274" s="11" customFormat="1" ht="42" customHeight="1" spans="1:10">
      <c r="A274" s="92"/>
      <c r="B274" s="262" t="s">
        <v>1302</v>
      </c>
      <c r="C274" s="203" t="s">
        <v>1271</v>
      </c>
      <c r="D274" s="263" t="s">
        <v>1303</v>
      </c>
      <c r="E274" s="203" t="s">
        <v>208</v>
      </c>
      <c r="F274" s="203">
        <v>45</v>
      </c>
      <c r="G274" s="203">
        <v>66.56</v>
      </c>
      <c r="H274" s="203" t="s">
        <v>637</v>
      </c>
      <c r="I274" s="203" t="str">
        <f>VLOOKUP(H274,Sheet4!A:B,2,)</f>
        <v>MATTE Black LIP</v>
      </c>
      <c r="J274" s="205">
        <f>2-2+4-4+4</f>
        <v>4</v>
      </c>
    </row>
    <row r="275" s="11" customFormat="1" ht="42" customHeight="1" spans="1:10">
      <c r="A275" s="62"/>
      <c r="B275" s="264" t="s">
        <v>1302</v>
      </c>
      <c r="C275" s="207" t="s">
        <v>1271</v>
      </c>
      <c r="D275" s="207" t="s">
        <v>1274</v>
      </c>
      <c r="E275" s="207" t="s">
        <v>208</v>
      </c>
      <c r="F275" s="207">
        <v>47</v>
      </c>
      <c r="G275" s="207">
        <v>66.56</v>
      </c>
      <c r="H275" s="207" t="s">
        <v>637</v>
      </c>
      <c r="I275" s="207" t="str">
        <f>VLOOKUP(H275,Sheet4!A:B,2,)</f>
        <v>MATTE Black LIP</v>
      </c>
      <c r="J275" s="227">
        <f>2-2+4</f>
        <v>4</v>
      </c>
    </row>
    <row r="276" s="92" customFormat="1" ht="21" customHeight="1" spans="1:10">
      <c r="B276" s="202" t="s">
        <v>1304</v>
      </c>
      <c r="C276" s="203" t="s">
        <v>1305</v>
      </c>
      <c r="D276" s="203" t="s">
        <v>29</v>
      </c>
      <c r="E276" s="203" t="s">
        <v>208</v>
      </c>
      <c r="F276" s="203">
        <v>32</v>
      </c>
      <c r="G276" s="203">
        <v>66.5</v>
      </c>
      <c r="H276" s="203" t="s">
        <v>1095</v>
      </c>
      <c r="I276" s="203" t="str">
        <f>VLOOKUP(H276,Sheet4!A:B,2,)</f>
        <v>MATTE Black LIP</v>
      </c>
      <c r="J276" s="205">
        <f>4-4</f>
        <v>0</v>
      </c>
    </row>
    <row r="277" s="92" customFormat="1" ht="21" customHeight="1" spans="1:10">
      <c r="B277" s="202" t="s">
        <v>1304</v>
      </c>
      <c r="C277" s="203" t="s">
        <v>1305</v>
      </c>
      <c r="D277" s="203" t="s">
        <v>225</v>
      </c>
      <c r="E277" s="203" t="s">
        <v>208</v>
      </c>
      <c r="F277" s="203">
        <v>40</v>
      </c>
      <c r="G277" s="203">
        <v>66.5</v>
      </c>
      <c r="H277" s="203" t="s">
        <v>1095</v>
      </c>
      <c r="I277" s="203" t="str">
        <f>VLOOKUP(H277,Sheet4!A:B,2,)</f>
        <v>MATTE Black LIP</v>
      </c>
      <c r="J277" s="205">
        <f>4-4</f>
        <v>0</v>
      </c>
    </row>
    <row r="278" s="92" customFormat="1" ht="21" customHeight="1" spans="1:10">
      <c r="B278" s="202" t="s">
        <v>1306</v>
      </c>
      <c r="C278" s="203" t="s">
        <v>1271</v>
      </c>
      <c r="D278" s="203" t="s">
        <v>19</v>
      </c>
      <c r="E278" s="203" t="s">
        <v>208</v>
      </c>
      <c r="F278" s="203">
        <v>42</v>
      </c>
      <c r="G278" s="203">
        <v>66.5</v>
      </c>
      <c r="H278" s="203" t="s">
        <v>87</v>
      </c>
      <c r="I278" s="203" t="str">
        <f>VLOOKUP(H278,Sheet4!A:B,2,)</f>
        <v>Gunmetal Machine Face</v>
      </c>
      <c r="J278" s="205">
        <v>12</v>
      </c>
    </row>
    <row r="279" s="92" customFormat="1" ht="21" customHeight="1" spans="1:10">
      <c r="B279" s="202" t="s">
        <v>1307</v>
      </c>
      <c r="C279" s="203" t="s">
        <v>1271</v>
      </c>
      <c r="D279" s="203" t="s">
        <v>556</v>
      </c>
      <c r="E279" s="203" t="s">
        <v>208</v>
      </c>
      <c r="F279" s="203">
        <v>45</v>
      </c>
      <c r="G279" s="203">
        <v>66.5</v>
      </c>
      <c r="H279" s="203" t="s">
        <v>87</v>
      </c>
      <c r="I279" s="203" t="str">
        <f>VLOOKUP(H279,Sheet4!A:B,2,)</f>
        <v>Gunmetal Machine Face</v>
      </c>
      <c r="J279" s="205">
        <f>2-2+2-2+6</f>
        <v>6</v>
      </c>
    </row>
    <row r="280" s="92" customFormat="1" ht="21" customHeight="1" spans="1:10">
      <c r="A280" s="6"/>
      <c r="B280" s="202" t="s">
        <v>1307</v>
      </c>
      <c r="C280" s="203" t="s">
        <v>1271</v>
      </c>
      <c r="D280" s="203" t="s">
        <v>1024</v>
      </c>
      <c r="E280" s="203" t="s">
        <v>208</v>
      </c>
      <c r="F280" s="203">
        <v>45</v>
      </c>
      <c r="G280" s="203">
        <v>66.5</v>
      </c>
      <c r="H280" s="203" t="s">
        <v>87</v>
      </c>
      <c r="I280" s="203" t="str">
        <f>VLOOKUP(H280,Sheet4!A:B,2,)</f>
        <v>Gunmetal Machine Face</v>
      </c>
      <c r="J280" s="205">
        <f>2-2+2-2+6</f>
        <v>6</v>
      </c>
    </row>
    <row r="281" s="92" customFormat="1" ht="21" customHeight="1" spans="1:10">
      <c r="B281" s="202" t="s">
        <v>1308</v>
      </c>
      <c r="C281" s="203" t="s">
        <v>1271</v>
      </c>
      <c r="D281" s="203" t="s">
        <v>556</v>
      </c>
      <c r="E281" s="203" t="s">
        <v>208</v>
      </c>
      <c r="F281" s="203">
        <v>45</v>
      </c>
      <c r="G281" s="203">
        <v>66.5</v>
      </c>
      <c r="H281" s="203" t="s">
        <v>1095</v>
      </c>
      <c r="I281" s="203" t="str">
        <f>VLOOKUP(H281,Sheet4!A:B,2,)</f>
        <v>MATTE Black LIP</v>
      </c>
      <c r="J281" s="205">
        <f>2-2+2-2+2-2+2-2+4-4+8-2-2+4-4+2</f>
        <v>6</v>
      </c>
    </row>
    <row r="282" s="92" customFormat="1" ht="21" customHeight="1" spans="1:10">
      <c r="A282" s="265"/>
      <c r="B282" s="233" t="s">
        <v>1308</v>
      </c>
      <c r="C282" s="207" t="s">
        <v>1271</v>
      </c>
      <c r="D282" s="207" t="s">
        <v>1024</v>
      </c>
      <c r="E282" s="207" t="s">
        <v>208</v>
      </c>
      <c r="F282" s="207">
        <v>45</v>
      </c>
      <c r="G282" s="207">
        <v>66.5</v>
      </c>
      <c r="H282" s="207" t="s">
        <v>1095</v>
      </c>
      <c r="I282" s="207" t="str">
        <f>VLOOKUP(H282,Sheet4!A:B,2,)</f>
        <v>MATTE Black LIP</v>
      </c>
      <c r="J282" s="227">
        <f>2-2+2-2+2-2+2-2+4-2-2+4-4+2</f>
        <v>2</v>
      </c>
    </row>
    <row r="283" s="92" customFormat="1" ht="30" customHeight="1" spans="1:10">
      <c r="B283" s="202" t="s">
        <v>1309</v>
      </c>
      <c r="C283" s="203" t="s">
        <v>1271</v>
      </c>
      <c r="D283" s="203" t="s">
        <v>556</v>
      </c>
      <c r="E283" s="203" t="s">
        <v>208</v>
      </c>
      <c r="F283" s="203">
        <v>42</v>
      </c>
      <c r="G283" s="203">
        <v>66.56</v>
      </c>
      <c r="H283" s="203" t="s">
        <v>637</v>
      </c>
      <c r="I283" s="203" t="str">
        <f>VLOOKUP(H283,Sheet4!A:B,2,)</f>
        <v>MATTE Black LIP</v>
      </c>
      <c r="J283" s="205">
        <f>4+2-2-2+1-3</f>
        <v>0</v>
      </c>
    </row>
    <row r="284" s="92" customFormat="1" ht="30" customHeight="1" spans="1:10">
      <c r="B284" s="202" t="s">
        <v>1310</v>
      </c>
      <c r="C284" s="203" t="s">
        <v>1271</v>
      </c>
      <c r="D284" s="203" t="s">
        <v>1024</v>
      </c>
      <c r="E284" s="203" t="s">
        <v>208</v>
      </c>
      <c r="F284" s="203">
        <v>45</v>
      </c>
      <c r="G284" s="203">
        <v>66.56</v>
      </c>
      <c r="H284" s="203" t="s">
        <v>637</v>
      </c>
      <c r="I284" s="203" t="str">
        <f>VLOOKUP(H284,Sheet4!A:B,2,)</f>
        <v>MATTE Black LIP</v>
      </c>
      <c r="J284" s="205">
        <f>4+2-2-2-1-1</f>
        <v>0</v>
      </c>
    </row>
    <row r="285" s="92" customFormat="1" ht="30" customHeight="1" spans="1:10">
      <c r="B285" s="202" t="s">
        <v>1311</v>
      </c>
      <c r="C285" s="203" t="s">
        <v>1271</v>
      </c>
      <c r="D285" s="203" t="s">
        <v>343</v>
      </c>
      <c r="E285" s="203" t="s">
        <v>208</v>
      </c>
      <c r="F285" s="203">
        <v>42</v>
      </c>
      <c r="G285" s="203">
        <v>66.56</v>
      </c>
      <c r="H285" s="203" t="s">
        <v>637</v>
      </c>
      <c r="I285" s="203" t="str">
        <f>VLOOKUP(H285,Sheet4!A:B,2,)</f>
        <v>MATTE Black LIP</v>
      </c>
      <c r="J285" s="205">
        <f>4+2-2-4</f>
        <v>0</v>
      </c>
    </row>
    <row r="286" s="92" customFormat="1" ht="30" customHeight="1" spans="1:10">
      <c r="A286" s="62"/>
      <c r="B286" s="233" t="s">
        <v>1312</v>
      </c>
      <c r="C286" s="207" t="s">
        <v>1271</v>
      </c>
      <c r="D286" s="207" t="s">
        <v>1292</v>
      </c>
      <c r="E286" s="207" t="s">
        <v>208</v>
      </c>
      <c r="F286" s="207">
        <v>45</v>
      </c>
      <c r="G286" s="207">
        <v>66.56</v>
      </c>
      <c r="H286" s="207" t="s">
        <v>637</v>
      </c>
      <c r="I286" s="207" t="str">
        <f>VLOOKUP(H286,Sheet4!A:B,2,)</f>
        <v>MATTE Black LIP</v>
      </c>
      <c r="J286" s="227">
        <f>4+2-2-4</f>
        <v>0</v>
      </c>
    </row>
    <row r="287" s="92" customFormat="1" ht="33" customHeight="1" spans="1:10">
      <c r="B287" s="204" t="s">
        <v>1313</v>
      </c>
      <c r="C287" s="204" t="s">
        <v>1263</v>
      </c>
      <c r="D287" s="204" t="s">
        <v>556</v>
      </c>
      <c r="E287" s="204" t="s">
        <v>208</v>
      </c>
      <c r="F287" s="204">
        <v>42</v>
      </c>
      <c r="G287" s="204">
        <v>66.56</v>
      </c>
      <c r="H287" s="204" t="s">
        <v>87</v>
      </c>
      <c r="I287" s="204" t="str">
        <f>VLOOKUP(H287,Sheet4!A:B,2,)</f>
        <v>Gunmetal Machine Face</v>
      </c>
      <c r="J287" s="205">
        <f>4+10-2-4-2-2+4</f>
        <v>8</v>
      </c>
    </row>
    <row r="288" s="92" customFormat="1" ht="33" customHeight="1" spans="1:10">
      <c r="B288" s="204" t="s">
        <v>1314</v>
      </c>
      <c r="C288" s="204" t="s">
        <v>1263</v>
      </c>
      <c r="D288" s="204" t="s">
        <v>1024</v>
      </c>
      <c r="E288" s="204" t="s">
        <v>208</v>
      </c>
      <c r="F288" s="204">
        <v>45</v>
      </c>
      <c r="G288" s="204">
        <v>66.56</v>
      </c>
      <c r="H288" s="204" t="s">
        <v>87</v>
      </c>
      <c r="I288" s="204" t="str">
        <f>VLOOKUP(H288,Sheet4!A:B,2,)</f>
        <v>Gunmetal Machine Face</v>
      </c>
      <c r="J288" s="205">
        <f>6-2-2-2</f>
        <v>0</v>
      </c>
    </row>
    <row r="289" s="92" customFormat="1" ht="33" customHeight="1" spans="1:10">
      <c r="B289" s="204" t="s">
        <v>1315</v>
      </c>
      <c r="C289" s="204" t="s">
        <v>1271</v>
      </c>
      <c r="D289" s="204" t="s">
        <v>1024</v>
      </c>
      <c r="E289" s="204" t="s">
        <v>208</v>
      </c>
      <c r="F289" s="204">
        <v>47</v>
      </c>
      <c r="G289" s="204">
        <v>66.56</v>
      </c>
      <c r="H289" s="204" t="s">
        <v>36</v>
      </c>
      <c r="I289" s="204" t="str">
        <f>VLOOKUP(H289,Sheet4!A:B,2,)</f>
        <v>Black Machine Face</v>
      </c>
      <c r="J289" s="205">
        <f>4-2-2</f>
        <v>0</v>
      </c>
    </row>
    <row r="290" s="92" customFormat="1" ht="33" customHeight="1" spans="1:10">
      <c r="B290" s="204" t="s">
        <v>1316</v>
      </c>
      <c r="C290" s="204" t="s">
        <v>1271</v>
      </c>
      <c r="D290" s="204" t="s">
        <v>556</v>
      </c>
      <c r="E290" s="204" t="s">
        <v>208</v>
      </c>
      <c r="F290" s="204">
        <v>45</v>
      </c>
      <c r="G290" s="204">
        <v>66.56</v>
      </c>
      <c r="H290" s="204" t="s">
        <v>36</v>
      </c>
      <c r="I290" s="204" t="str">
        <f>VLOOKUP(H290,Sheet4!A:B,2,)</f>
        <v>Black Machine Face</v>
      </c>
      <c r="J290" s="205">
        <v>0</v>
      </c>
    </row>
    <row r="291" s="92" customFormat="1" ht="33" customHeight="1" spans="1:10">
      <c r="B291" s="204" t="s">
        <v>1317</v>
      </c>
      <c r="C291" s="204" t="s">
        <v>1318</v>
      </c>
      <c r="D291" s="204" t="s">
        <v>343</v>
      </c>
      <c r="E291" s="204" t="s">
        <v>208</v>
      </c>
      <c r="F291" s="204">
        <v>45</v>
      </c>
      <c r="G291" s="204">
        <v>66.56</v>
      </c>
      <c r="H291" s="204" t="s">
        <v>87</v>
      </c>
      <c r="I291" s="204" t="str">
        <f>VLOOKUP(H291,Sheet4!A:B,2,)</f>
        <v>Gunmetal Machine Face</v>
      </c>
      <c r="J291" s="205">
        <f>2-2+4+2-2-2-2+6-2-2-2+4-2-2+2-2+4+6-2-2-2-2-2+2-2+4-2-2+6-2-2-2+4-2-2+6-2</f>
        <v>4</v>
      </c>
    </row>
    <row r="292" s="92" customFormat="1" ht="33" customHeight="1" spans="1:10">
      <c r="B292" s="204" t="s">
        <v>1319</v>
      </c>
      <c r="C292" s="204" t="s">
        <v>1318</v>
      </c>
      <c r="D292" s="204" t="s">
        <v>1274</v>
      </c>
      <c r="E292" s="204" t="s">
        <v>208</v>
      </c>
      <c r="F292" s="204">
        <v>47</v>
      </c>
      <c r="G292" s="204">
        <v>66.56</v>
      </c>
      <c r="H292" s="204" t="s">
        <v>87</v>
      </c>
      <c r="I292" s="204" t="str">
        <f>VLOOKUP(H292,Sheet4!A:B,2,)</f>
        <v>Gunmetal Machine Face</v>
      </c>
      <c r="J292" s="205">
        <f>2-2+4+2-2-2-2+6-2-2-2+4-2-2+2-2+4+6-2-2-2-2-2+2-2+4-2-2+6-2-2-2+4-2-2+6-2</f>
        <v>4</v>
      </c>
    </row>
    <row r="293" s="92" customFormat="1" ht="33" customHeight="1" spans="1:10">
      <c r="B293" s="204" t="s">
        <v>1320</v>
      </c>
      <c r="C293" s="204" t="s">
        <v>1318</v>
      </c>
      <c r="D293" s="204" t="s">
        <v>343</v>
      </c>
      <c r="E293" s="204" t="s">
        <v>208</v>
      </c>
      <c r="F293" s="204">
        <v>45</v>
      </c>
      <c r="G293" s="204">
        <v>66.56</v>
      </c>
      <c r="H293" s="204" t="s">
        <v>21</v>
      </c>
      <c r="I293" s="204" t="str">
        <f>VLOOKUP(H293,Sheet4!A:B,2,)</f>
        <v>Black Machine Face</v>
      </c>
      <c r="J293" s="205">
        <f>4-2-2+4-2-2+2-2+4-2-2+6-1-4+4+1-2-2-2+6-2+2-2-2-2</f>
        <v>0</v>
      </c>
    </row>
    <row r="294" s="92" customFormat="1" ht="33" customHeight="1" spans="1:10">
      <c r="A294" s="62"/>
      <c r="B294" s="232" t="s">
        <v>1321</v>
      </c>
      <c r="C294" s="232" t="s">
        <v>1318</v>
      </c>
      <c r="D294" s="232" t="s">
        <v>1274</v>
      </c>
      <c r="E294" s="232" t="s">
        <v>208</v>
      </c>
      <c r="F294" s="232">
        <v>47</v>
      </c>
      <c r="G294" s="232">
        <v>66.56</v>
      </c>
      <c r="H294" s="232" t="s">
        <v>21</v>
      </c>
      <c r="I294" s="232" t="str">
        <f>VLOOKUP(H294,Sheet4!A:B,2,)</f>
        <v>Black Machine Face</v>
      </c>
      <c r="J294" s="227">
        <f>4-2-2+4-2-2+2-2+4-2-2+6-2-2-2+6-2+2-2-2-2</f>
        <v>0</v>
      </c>
    </row>
    <row r="295" s="92" customFormat="1" ht="54" customHeight="1" spans="1:10">
      <c r="A295" s="209"/>
      <c r="B295" s="210" t="s">
        <v>1322</v>
      </c>
      <c r="C295" s="203" t="s">
        <v>1263</v>
      </c>
      <c r="D295" s="211" t="s">
        <v>34</v>
      </c>
      <c r="E295" s="212" t="s">
        <v>208</v>
      </c>
      <c r="F295" s="212">
        <v>45</v>
      </c>
      <c r="G295" s="212">
        <v>66.5</v>
      </c>
      <c r="H295" s="212" t="s">
        <v>53</v>
      </c>
      <c r="I295" s="212" t="str">
        <f>VLOOKUP(H295,Sheet4!A:B,2,)</f>
        <v>polish</v>
      </c>
      <c r="J295" s="214">
        <f>2-2</f>
        <v>0</v>
      </c>
    </row>
    <row r="296" s="92" customFormat="1" ht="54" customHeight="1" spans="1:10">
      <c r="A296" s="206"/>
      <c r="B296" s="233" t="s">
        <v>1323</v>
      </c>
      <c r="C296" s="207" t="s">
        <v>1263</v>
      </c>
      <c r="D296" s="232" t="s">
        <v>1274</v>
      </c>
      <c r="E296" s="207" t="s">
        <v>208</v>
      </c>
      <c r="F296" s="207">
        <v>47</v>
      </c>
      <c r="G296" s="207">
        <v>66.5</v>
      </c>
      <c r="H296" s="207" t="s">
        <v>53</v>
      </c>
      <c r="I296" s="207" t="str">
        <f>VLOOKUP(H296,Sheet4!A:B,2,)</f>
        <v>polish</v>
      </c>
      <c r="J296" s="227">
        <f>2-2</f>
        <v>0</v>
      </c>
    </row>
    <row r="297" s="92" customFormat="1" ht="128" customHeight="1" spans="1:10">
      <c r="A297" s="62"/>
      <c r="B297" s="233" t="s">
        <v>1324</v>
      </c>
      <c r="C297" s="207" t="s">
        <v>1263</v>
      </c>
      <c r="D297" s="207" t="s">
        <v>29</v>
      </c>
      <c r="E297" s="207" t="s">
        <v>208</v>
      </c>
      <c r="F297" s="207">
        <v>50</v>
      </c>
      <c r="G297" s="207">
        <v>66.45</v>
      </c>
      <c r="H297" s="207" t="s">
        <v>1325</v>
      </c>
      <c r="I297" s="207" t="str">
        <f>VLOOKUP(H297,Sheet4!A:B,2,)</f>
        <v>Gunmetal polish Face</v>
      </c>
      <c r="J297" s="227">
        <v>4</v>
      </c>
    </row>
    <row r="298" s="92" customFormat="1" ht="35" customHeight="1" spans="1:10">
      <c r="B298" s="202" t="s">
        <v>1326</v>
      </c>
      <c r="C298" s="203" t="s">
        <v>1263</v>
      </c>
      <c r="D298" s="203" t="s">
        <v>23</v>
      </c>
      <c r="E298" s="203" t="s">
        <v>208</v>
      </c>
      <c r="F298" s="203">
        <v>40</v>
      </c>
      <c r="G298" s="203">
        <v>66.5</v>
      </c>
      <c r="H298" s="203" t="s">
        <v>439</v>
      </c>
      <c r="I298" s="203" t="str">
        <f>VLOOKUP(H298,Sheet4!A:B,2,)</f>
        <v>Gunmetal Machine Face</v>
      </c>
      <c r="J298" s="205">
        <f>8-4-4+12-4-4-4+4-4+8+4-4-1-4+5+4-4-4-4+8-4-4+4+4</f>
        <v>8</v>
      </c>
    </row>
    <row r="299" s="92" customFormat="1" ht="35" customHeight="1" spans="1:10">
      <c r="B299" s="202" t="s">
        <v>1327</v>
      </c>
      <c r="C299" s="203" t="s">
        <v>1263</v>
      </c>
      <c r="D299" s="203" t="s">
        <v>225</v>
      </c>
      <c r="E299" s="203" t="s">
        <v>208</v>
      </c>
      <c r="F299" s="203">
        <v>45</v>
      </c>
      <c r="G299" s="203">
        <v>66.5</v>
      </c>
      <c r="H299" s="203" t="s">
        <v>439</v>
      </c>
      <c r="I299" s="203" t="str">
        <f>VLOOKUP(H299,Sheet4!A:B,2,)</f>
        <v>Gunmetal Machine Face</v>
      </c>
      <c r="J299" s="205">
        <f>8-4-4+8-4-4+4+4-4-4+4-4+4-4+4-4</f>
        <v>0</v>
      </c>
    </row>
    <row r="300" s="92" customFormat="1" ht="35" customHeight="1" spans="1:10">
      <c r="A300" s="266"/>
      <c r="B300" s="202" t="s">
        <v>1328</v>
      </c>
      <c r="C300" s="203" t="s">
        <v>1263</v>
      </c>
      <c r="D300" s="203" t="s">
        <v>556</v>
      </c>
      <c r="E300" s="203" t="s">
        <v>208</v>
      </c>
      <c r="F300" s="203">
        <v>45</v>
      </c>
      <c r="G300" s="203">
        <v>66.5</v>
      </c>
      <c r="H300" s="203" t="s">
        <v>439</v>
      </c>
      <c r="I300" s="203" t="str">
        <f>VLOOKUP(H300,Sheet4!A:B,2,)</f>
        <v>Gunmetal Machine Face</v>
      </c>
      <c r="J300" s="205">
        <f>8-4-4+4-1+1-4+1+4-1+1-4+4</f>
        <v>5</v>
      </c>
    </row>
    <row r="301" s="92" customFormat="1" ht="35" customHeight="1" spans="1:10">
      <c r="A301" s="267"/>
      <c r="B301" s="233" t="s">
        <v>1329</v>
      </c>
      <c r="C301" s="207" t="s">
        <v>1263</v>
      </c>
      <c r="D301" s="207" t="s">
        <v>1330</v>
      </c>
      <c r="E301" s="207" t="s">
        <v>218</v>
      </c>
      <c r="F301" s="207"/>
      <c r="G301" s="207">
        <v>84.1</v>
      </c>
      <c r="H301" s="207" t="s">
        <v>159</v>
      </c>
      <c r="I301" s="207" t="str">
        <f>VLOOKUP(H301,Sheet4!A:B,2,)</f>
        <v>MATTE BLACK</v>
      </c>
      <c r="J301" s="227">
        <v>4</v>
      </c>
    </row>
    <row r="302" s="92" customFormat="1" ht="28" customHeight="1" spans="1:10">
      <c r="A302" s="266"/>
      <c r="B302" s="225" t="s">
        <v>1331</v>
      </c>
      <c r="C302" s="203" t="s">
        <v>1332</v>
      </c>
      <c r="D302" s="203" t="s">
        <v>44</v>
      </c>
      <c r="E302" s="203" t="s">
        <v>208</v>
      </c>
      <c r="F302" s="203">
        <v>38</v>
      </c>
      <c r="G302" s="203">
        <v>66.5</v>
      </c>
      <c r="H302" s="203" t="s">
        <v>21</v>
      </c>
      <c r="I302" s="203" t="str">
        <f>VLOOKUP(H302,Sheet4!A:B,2,)</f>
        <v>Black Machine Face</v>
      </c>
      <c r="J302" s="205">
        <f>4+12-4-4-4+8+12-4-4-4-4-8+4-4+8+4-4+4-4-4-4+8-4-4+4-4+16-4-4+4+20-4-4-4-4+4+4+20-4-4-4+4-4-4-4-4-8-4-4-4+20-4-4-4-4-4+4-4+20-4-4-4-4-4+12-4-4-4+4-4+4+8+4-4-4-4-4+4-4+20-4-4-4-4-4</f>
        <v>0</v>
      </c>
    </row>
    <row r="303" s="92" customFormat="1" ht="28" customHeight="1" spans="1:10">
      <c r="A303" s="266"/>
      <c r="B303" s="225" t="s">
        <v>1333</v>
      </c>
      <c r="C303" s="203" t="s">
        <v>1332</v>
      </c>
      <c r="D303" s="263" t="s">
        <v>1334</v>
      </c>
      <c r="E303" s="203" t="s">
        <v>208</v>
      </c>
      <c r="F303" s="203">
        <v>38</v>
      </c>
      <c r="G303" s="203">
        <v>66.5</v>
      </c>
      <c r="H303" s="259" t="s">
        <v>1335</v>
      </c>
      <c r="I303" s="259" t="str">
        <f>VLOOKUP(H303,Sheet4!A:B,2,)</f>
        <v>Gunmetal Machine Face</v>
      </c>
      <c r="J303" s="205">
        <v>0</v>
      </c>
    </row>
    <row r="304" s="92" customFormat="1" ht="28" customHeight="1" spans="1:10">
      <c r="A304" s="266"/>
      <c r="B304" s="225" t="s">
        <v>1336</v>
      </c>
      <c r="C304" s="203" t="s">
        <v>1332</v>
      </c>
      <c r="D304" s="203" t="s">
        <v>29</v>
      </c>
      <c r="E304" s="203" t="s">
        <v>208</v>
      </c>
      <c r="F304" s="203">
        <v>40</v>
      </c>
      <c r="G304" s="203">
        <v>66.5</v>
      </c>
      <c r="H304" s="203" t="s">
        <v>21</v>
      </c>
      <c r="I304" s="203" t="str">
        <f>VLOOKUP(H304,Sheet4!A:B,2,)</f>
        <v>Black Machine Face</v>
      </c>
      <c r="J304" s="205">
        <f>4-4+4-4+12-4-4+4-4+4+4-4-4+8-4-4-4+4+8-4-4-4+8+12-4-4-4-4-4+4+4-4+4+20-4-4-4-4</f>
        <v>12</v>
      </c>
    </row>
    <row r="305" s="92" customFormat="1" ht="28" customHeight="1" spans="1:10">
      <c r="A305" s="267"/>
      <c r="B305" s="217" t="s">
        <v>1337</v>
      </c>
      <c r="C305" s="207" t="s">
        <v>1332</v>
      </c>
      <c r="D305" s="207" t="s">
        <v>29</v>
      </c>
      <c r="E305" s="207" t="s">
        <v>208</v>
      </c>
      <c r="F305" s="207">
        <v>40</v>
      </c>
      <c r="G305" s="207">
        <v>66.5</v>
      </c>
      <c r="H305" s="207" t="s">
        <v>87</v>
      </c>
      <c r="I305" s="207" t="str">
        <f>VLOOKUP(H305,Sheet4!A:B,2,)</f>
        <v>Gunmetal Machine Face</v>
      </c>
      <c r="J305" s="227">
        <f>8-4+4-4+12-4-4+12-2+8-4</f>
        <v>22</v>
      </c>
    </row>
    <row r="306" s="92" customFormat="1" ht="57" customHeight="1" spans="1:10">
      <c r="B306" s="225" t="s">
        <v>1338</v>
      </c>
      <c r="C306" s="203" t="s">
        <v>1332</v>
      </c>
      <c r="D306" s="203" t="s">
        <v>44</v>
      </c>
      <c r="E306" s="203" t="s">
        <v>208</v>
      </c>
      <c r="F306" s="203">
        <v>38</v>
      </c>
      <c r="G306" s="203">
        <v>66.5</v>
      </c>
      <c r="H306" s="203" t="s">
        <v>21</v>
      </c>
      <c r="I306" s="203" t="str">
        <f>VLOOKUP(H306,Sheet4!A:B,2,)</f>
        <v>Black Machine Face</v>
      </c>
      <c r="J306" s="205">
        <f>4-4+4-4+4+12-4-1-4+1+4-4-4</f>
        <v>4</v>
      </c>
    </row>
    <row r="307" s="92" customFormat="1" ht="57" customHeight="1" spans="1:10">
      <c r="B307" s="225" t="s">
        <v>1339</v>
      </c>
      <c r="C307" s="203" t="s">
        <v>1332</v>
      </c>
      <c r="D307" s="203" t="s">
        <v>29</v>
      </c>
      <c r="E307" s="203" t="s">
        <v>208</v>
      </c>
      <c r="F307" s="203">
        <v>40</v>
      </c>
      <c r="G307" s="203">
        <v>66.5</v>
      </c>
      <c r="H307" s="203" t="s">
        <v>21</v>
      </c>
      <c r="I307" s="203" t="str">
        <f>VLOOKUP(H307,Sheet4!A:B,2,)</f>
        <v>Black Machine Face</v>
      </c>
      <c r="J307" s="205">
        <f>4-4+8-4-4</f>
        <v>0</v>
      </c>
    </row>
    <row r="308" s="92" customFormat="1" ht="43" customHeight="1" spans="1:10">
      <c r="A308" s="29"/>
      <c r="B308" s="210" t="s">
        <v>1340</v>
      </c>
      <c r="C308" s="212" t="s">
        <v>1332</v>
      </c>
      <c r="D308" s="212" t="s">
        <v>44</v>
      </c>
      <c r="E308" s="212" t="s">
        <v>208</v>
      </c>
      <c r="F308" s="212">
        <v>38</v>
      </c>
      <c r="G308" s="212">
        <v>66.5</v>
      </c>
      <c r="H308" s="212" t="s">
        <v>21</v>
      </c>
      <c r="I308" s="212" t="str">
        <f>VLOOKUP(H308,Sheet4!A:B,2,)</f>
        <v>Black Machine Face</v>
      </c>
      <c r="J308" s="214">
        <v>0</v>
      </c>
    </row>
    <row r="309" s="92" customFormat="1" ht="43" customHeight="1" spans="1:10">
      <c r="B309" s="202" t="s">
        <v>1341</v>
      </c>
      <c r="C309" s="203" t="s">
        <v>1332</v>
      </c>
      <c r="D309" s="203" t="s">
        <v>29</v>
      </c>
      <c r="E309" s="203" t="s">
        <v>208</v>
      </c>
      <c r="F309" s="203">
        <v>40</v>
      </c>
      <c r="G309" s="203">
        <v>66.5</v>
      </c>
      <c r="H309" s="203" t="s">
        <v>21</v>
      </c>
      <c r="I309" s="203" t="str">
        <f>VLOOKUP(H309,Sheet4!A:B,2,)</f>
        <v>Black Machine Face</v>
      </c>
      <c r="J309" s="205">
        <f>8+4-4-4-4+4-4+4-4</f>
        <v>0</v>
      </c>
    </row>
    <row r="310" s="92" customFormat="1" ht="43" customHeight="1" spans="1:10">
      <c r="A310" s="62"/>
      <c r="B310" s="233" t="s">
        <v>1342</v>
      </c>
      <c r="C310" s="207" t="s">
        <v>1332</v>
      </c>
      <c r="D310" s="207" t="s">
        <v>225</v>
      </c>
      <c r="E310" s="207" t="s">
        <v>208</v>
      </c>
      <c r="F310" s="207">
        <v>22</v>
      </c>
      <c r="G310" s="207">
        <v>66.5</v>
      </c>
      <c r="H310" s="207" t="s">
        <v>21</v>
      </c>
      <c r="I310" s="207" t="str">
        <f>VLOOKUP(H310,Sheet4!A:B,2,)</f>
        <v>Black Machine Face</v>
      </c>
      <c r="J310" s="227">
        <v>0</v>
      </c>
    </row>
    <row r="311" s="92" customFormat="1" ht="114" customHeight="1" spans="1:10">
      <c r="A311" s="219"/>
      <c r="B311" s="220" t="s">
        <v>1343</v>
      </c>
      <c r="C311" s="221" t="s">
        <v>1344</v>
      </c>
      <c r="D311" s="222" t="s">
        <v>225</v>
      </c>
      <c r="E311" s="222" t="s">
        <v>218</v>
      </c>
      <c r="F311" s="222">
        <v>30</v>
      </c>
      <c r="G311" s="222">
        <v>84.1</v>
      </c>
      <c r="H311" s="222" t="s">
        <v>790</v>
      </c>
      <c r="I311" s="222" t="str">
        <f>VLOOKUP(H311,Sheet4!A:B,2,)</f>
        <v>MATTE Black Machine Face</v>
      </c>
      <c r="J311" s="223">
        <f>12-4-4-4+12-4-4-1+4</f>
        <v>7</v>
      </c>
    </row>
    <row r="312" s="92" customFormat="1" ht="114" customHeight="1" spans="1:10">
      <c r="A312" s="219"/>
      <c r="B312" s="221" t="s">
        <v>1345</v>
      </c>
      <c r="C312" s="221" t="s">
        <v>1344</v>
      </c>
      <c r="D312" s="222" t="s">
        <v>343</v>
      </c>
      <c r="E312" s="222" t="s">
        <v>218</v>
      </c>
      <c r="F312" s="222">
        <v>36</v>
      </c>
      <c r="G312" s="222">
        <v>84.1</v>
      </c>
      <c r="H312" s="222" t="s">
        <v>1095</v>
      </c>
      <c r="I312" s="222" t="str">
        <f>VLOOKUP(H312,Sheet4!A:B,2,)</f>
        <v>MATTE Black LIP</v>
      </c>
      <c r="J312" s="223">
        <f>4+4-4-4+16-8+8-8-4</f>
        <v>4</v>
      </c>
    </row>
    <row r="313" s="92" customFormat="1" ht="114" customHeight="1" spans="1:10">
      <c r="A313" s="219"/>
      <c r="B313" s="220" t="s">
        <v>1346</v>
      </c>
      <c r="C313" s="221" t="s">
        <v>1344</v>
      </c>
      <c r="D313" s="222" t="s">
        <v>343</v>
      </c>
      <c r="E313" s="222" t="s">
        <v>218</v>
      </c>
      <c r="F313" s="222">
        <v>30</v>
      </c>
      <c r="G313" s="222">
        <v>84.1</v>
      </c>
      <c r="H313" s="222" t="s">
        <v>790</v>
      </c>
      <c r="I313" s="222" t="str">
        <f>VLOOKUP(H313,Sheet4!A:B,2,)</f>
        <v>MATTE Black Machine Face</v>
      </c>
      <c r="J313" s="223">
        <f>8-4-4+4-4+4-4</f>
        <v>0</v>
      </c>
    </row>
    <row r="314" s="92" customFormat="1" ht="39" customHeight="1" spans="1:10">
      <c r="B314" s="202" t="s">
        <v>1347</v>
      </c>
      <c r="C314" s="203" t="s">
        <v>1344</v>
      </c>
      <c r="D314" s="203" t="s">
        <v>556</v>
      </c>
      <c r="E314" s="203" t="s">
        <v>218</v>
      </c>
      <c r="F314" s="203">
        <v>30</v>
      </c>
      <c r="G314" s="203">
        <v>84.1</v>
      </c>
      <c r="H314" s="203" t="s">
        <v>21</v>
      </c>
      <c r="I314" s="203" t="str">
        <f>VLOOKUP(H314,Sheet4!A:B,2,)</f>
        <v>Black Machine Face</v>
      </c>
      <c r="J314" s="205">
        <f>4-4</f>
        <v>0</v>
      </c>
    </row>
    <row r="315" s="92" customFormat="1" ht="39" customHeight="1" spans="1:10">
      <c r="B315" s="202" t="s">
        <v>1348</v>
      </c>
      <c r="C315" s="203" t="s">
        <v>1344</v>
      </c>
      <c r="D315" s="203" t="s">
        <v>343</v>
      </c>
      <c r="E315" s="203" t="s">
        <v>218</v>
      </c>
      <c r="F315" s="203">
        <v>30</v>
      </c>
      <c r="G315" s="203">
        <v>84.1</v>
      </c>
      <c r="H315" s="203" t="s">
        <v>21</v>
      </c>
      <c r="I315" s="203" t="str">
        <f>VLOOKUP(H315,Sheet4!A:B,2,)</f>
        <v>Black Machine Face</v>
      </c>
      <c r="J315" s="205">
        <f>4-4+8-4-4+4+4-4-4+4-4+8+4</f>
        <v>12</v>
      </c>
    </row>
    <row r="316" s="92" customFormat="1" ht="39" customHeight="1" spans="1:10">
      <c r="B316" s="202" t="s">
        <v>1349</v>
      </c>
      <c r="C316" s="203" t="s">
        <v>1344</v>
      </c>
      <c r="D316" s="203" t="s">
        <v>343</v>
      </c>
      <c r="E316" s="203" t="s">
        <v>218</v>
      </c>
      <c r="F316" s="203">
        <v>30</v>
      </c>
      <c r="G316" s="203">
        <v>84.1</v>
      </c>
      <c r="H316" s="203" t="s">
        <v>16</v>
      </c>
      <c r="I316" s="203" t="str">
        <f>VLOOKUP(H316,Sheet4!A:B,2,)</f>
        <v>GLOSS BLACK</v>
      </c>
      <c r="J316" s="205">
        <f>8-4-4</f>
        <v>0</v>
      </c>
    </row>
    <row r="317" s="92" customFormat="1" ht="36" customHeight="1" spans="1:10">
      <c r="A317" s="29"/>
      <c r="B317" s="210" t="s">
        <v>1350</v>
      </c>
      <c r="C317" s="212" t="s">
        <v>1351</v>
      </c>
      <c r="D317" s="212" t="s">
        <v>29</v>
      </c>
      <c r="E317" s="212" t="s">
        <v>208</v>
      </c>
      <c r="F317" s="212">
        <v>36</v>
      </c>
      <c r="G317" s="212">
        <v>66.5</v>
      </c>
      <c r="H317" s="212" t="s">
        <v>16</v>
      </c>
      <c r="I317" s="212" t="str">
        <f>VLOOKUP(H317,Sheet4!A:B,2,)</f>
        <v>GLOSS BLACK</v>
      </c>
      <c r="J317" s="268">
        <f>3+1-2-2+2-2+2+2-2-2+2-2</f>
        <v>0</v>
      </c>
    </row>
    <row r="318" s="92" customFormat="1" ht="36" customHeight="1" spans="1:10">
      <c r="B318" s="202" t="s">
        <v>1350</v>
      </c>
      <c r="C318" s="203" t="s">
        <v>1351</v>
      </c>
      <c r="D318" s="203" t="s">
        <v>225</v>
      </c>
      <c r="E318" s="203" t="s">
        <v>208</v>
      </c>
      <c r="F318" s="203">
        <v>43</v>
      </c>
      <c r="G318" s="203">
        <v>66.5</v>
      </c>
      <c r="H318" s="203" t="s">
        <v>16</v>
      </c>
      <c r="I318" s="203" t="str">
        <f>VLOOKUP(H318,Sheet4!A:B,2,)</f>
        <v>GLOSS BLACK</v>
      </c>
      <c r="J318" s="269">
        <f>4-2-2+2+2-2+2+2-2-2+2-2</f>
        <v>2</v>
      </c>
    </row>
    <row r="319" s="92" customFormat="1" ht="36" customHeight="1" spans="1:10">
      <c r="A319" s="258"/>
      <c r="B319" s="233" t="s">
        <v>1352</v>
      </c>
      <c r="C319" s="207" t="s">
        <v>1344</v>
      </c>
      <c r="D319" s="207" t="s">
        <v>343</v>
      </c>
      <c r="E319" s="207" t="s">
        <v>218</v>
      </c>
      <c r="F319" s="207">
        <v>30</v>
      </c>
      <c r="G319" s="207">
        <v>84.1</v>
      </c>
      <c r="H319" s="207" t="s">
        <v>16</v>
      </c>
      <c r="I319" s="207" t="str">
        <f>VLOOKUP(H319,Sheet4!A:B,2,)</f>
        <v>GLOSS BLACK</v>
      </c>
      <c r="J319" s="227">
        <f>8-4-4+4-4+4-4+4+4-4-4+4+4</f>
        <v>8</v>
      </c>
    </row>
    <row r="320" s="5" customFormat="1" ht="114" customHeight="1" spans="1:10">
      <c r="A320" s="270"/>
      <c r="B320" s="233" t="s">
        <v>1353</v>
      </c>
      <c r="C320" s="207" t="s">
        <v>1344</v>
      </c>
      <c r="D320" s="207" t="s">
        <v>343</v>
      </c>
      <c r="E320" s="207" t="s">
        <v>218</v>
      </c>
      <c r="F320" s="207">
        <v>30</v>
      </c>
      <c r="G320" s="207">
        <v>84.1</v>
      </c>
      <c r="H320" s="207" t="s">
        <v>21</v>
      </c>
      <c r="I320" s="207" t="str">
        <f>VLOOKUP(H320,Sheet4!A:B,2,)</f>
        <v>Black Machine Face</v>
      </c>
      <c r="J320" s="227">
        <f>4-4+4-4+8-4-4+8-4-4</f>
        <v>0</v>
      </c>
    </row>
    <row r="321" s="92" customFormat="1" ht="40" customHeight="1" spans="1:10">
      <c r="B321" s="225" t="s">
        <v>1354</v>
      </c>
      <c r="C321" s="203" t="s">
        <v>1344</v>
      </c>
      <c r="D321" s="203" t="s">
        <v>343</v>
      </c>
      <c r="E321" s="203" t="s">
        <v>218</v>
      </c>
      <c r="F321" s="203">
        <v>30</v>
      </c>
      <c r="G321" s="203">
        <v>84.1</v>
      </c>
      <c r="H321" s="203" t="s">
        <v>1355</v>
      </c>
      <c r="I321" s="203" t="str">
        <f>VLOOKUP(H321,Sheet4!A:B,2,)</f>
        <v>Black +red LIP</v>
      </c>
      <c r="J321" s="205">
        <f>8-4+4-4-4</f>
        <v>0</v>
      </c>
    </row>
    <row r="322" s="92" customFormat="1" ht="40" customHeight="1" spans="1:10">
      <c r="B322" s="225" t="s">
        <v>1356</v>
      </c>
      <c r="C322" s="203" t="s">
        <v>1344</v>
      </c>
      <c r="D322" s="203" t="s">
        <v>1264</v>
      </c>
      <c r="E322" s="203" t="s">
        <v>218</v>
      </c>
      <c r="F322" s="203">
        <v>25</v>
      </c>
      <c r="G322" s="203">
        <v>84.1</v>
      </c>
      <c r="H322" s="203" t="s">
        <v>1355</v>
      </c>
      <c r="I322" s="203" t="str">
        <f>VLOOKUP(H322,Sheet4!A:B,2,)</f>
        <v>Black +red LIP</v>
      </c>
      <c r="J322" s="205">
        <f>4-4+4-4</f>
        <v>0</v>
      </c>
    </row>
    <row r="323" s="92" customFormat="1" ht="40" customHeight="1" spans="1:10">
      <c r="B323" s="225" t="s">
        <v>1357</v>
      </c>
      <c r="C323" s="203" t="s">
        <v>1344</v>
      </c>
      <c r="D323" s="203" t="s">
        <v>1358</v>
      </c>
      <c r="E323" s="203" t="s">
        <v>218</v>
      </c>
      <c r="F323" s="203">
        <v>25</v>
      </c>
      <c r="G323" s="203">
        <v>84.1</v>
      </c>
      <c r="H323" s="203" t="s">
        <v>1355</v>
      </c>
      <c r="I323" s="203" t="str">
        <f>VLOOKUP(H323,Sheet4!A:B,2,)</f>
        <v>Black +red LIP</v>
      </c>
      <c r="J323" s="205">
        <f>5-5+4-4</f>
        <v>0</v>
      </c>
    </row>
    <row r="324" s="92" customFormat="1" ht="39" customHeight="1" spans="1:10">
      <c r="A324" s="29"/>
      <c r="B324" s="210" t="s">
        <v>1359</v>
      </c>
      <c r="C324" s="212" t="s">
        <v>1344</v>
      </c>
      <c r="D324" s="212" t="s">
        <v>225</v>
      </c>
      <c r="E324" s="271" t="s">
        <v>218</v>
      </c>
      <c r="F324" s="212">
        <v>32</v>
      </c>
      <c r="G324" s="213">
        <v>84.1</v>
      </c>
      <c r="H324" s="212" t="s">
        <v>1095</v>
      </c>
      <c r="I324" s="212" t="str">
        <f>VLOOKUP(H324,Sheet4!A:B,2,)</f>
        <v>MATTE Black LIP</v>
      </c>
      <c r="J324" s="214">
        <f>4-4+4-4+4-4+4+4+4-5-5+1+5-4+4</f>
        <v>8</v>
      </c>
    </row>
    <row r="325" s="92" customFormat="1" ht="39" customHeight="1" spans="1:10">
      <c r="B325" s="202" t="s">
        <v>1360</v>
      </c>
      <c r="C325" s="203" t="s">
        <v>1344</v>
      </c>
      <c r="D325" s="203" t="s">
        <v>225</v>
      </c>
      <c r="E325" s="252" t="s">
        <v>218</v>
      </c>
      <c r="F325" s="203">
        <v>32</v>
      </c>
      <c r="G325" s="208">
        <v>84.1</v>
      </c>
      <c r="H325" s="203" t="s">
        <v>1093</v>
      </c>
      <c r="I325" s="203" t="str">
        <f>VLOOKUP(H325,Sheet4!A:B,2,)</f>
        <v>Matt Black Machine Red Lip</v>
      </c>
      <c r="J325" s="205">
        <f>4-4+4-4+4-4+4-4+8</f>
        <v>8</v>
      </c>
    </row>
    <row r="326" s="92" customFormat="1" ht="39" customHeight="1" spans="1:10">
      <c r="B326" s="202" t="s">
        <v>1361</v>
      </c>
      <c r="C326" s="203" t="s">
        <v>1344</v>
      </c>
      <c r="D326" s="203" t="s">
        <v>556</v>
      </c>
      <c r="E326" s="252" t="s">
        <v>218</v>
      </c>
      <c r="F326" s="203">
        <v>30</v>
      </c>
      <c r="G326" s="203">
        <v>84.1</v>
      </c>
      <c r="H326" s="203" t="s">
        <v>1093</v>
      </c>
      <c r="I326" s="203" t="str">
        <f>VLOOKUP(H326,Sheet4!A:B,2,)</f>
        <v>Matt Black Machine Red Lip</v>
      </c>
      <c r="J326" s="205">
        <f>8+4</f>
        <v>12</v>
      </c>
    </row>
    <row r="327" s="92" customFormat="1" ht="39" customHeight="1" spans="1:10">
      <c r="B327" s="202" t="s">
        <v>1362</v>
      </c>
      <c r="C327" s="203" t="s">
        <v>1344</v>
      </c>
      <c r="D327" s="203" t="s">
        <v>556</v>
      </c>
      <c r="E327" s="252" t="s">
        <v>218</v>
      </c>
      <c r="F327" s="203">
        <v>30</v>
      </c>
      <c r="G327" s="203">
        <v>84.1</v>
      </c>
      <c r="H327" s="203" t="s">
        <v>1095</v>
      </c>
      <c r="I327" s="203" t="str">
        <f>VLOOKUP(H327,Sheet4!A:B,2,)</f>
        <v>MATTE Black LIP</v>
      </c>
      <c r="J327" s="205">
        <f>12-4</f>
        <v>8</v>
      </c>
    </row>
    <row r="328" s="92" customFormat="1" ht="39" customHeight="1" spans="1:10">
      <c r="B328" s="202" t="s">
        <v>1363</v>
      </c>
      <c r="C328" s="203" t="s">
        <v>1344</v>
      </c>
      <c r="D328" s="203" t="s">
        <v>343</v>
      </c>
      <c r="E328" s="252" t="s">
        <v>218</v>
      </c>
      <c r="F328" s="203">
        <v>30</v>
      </c>
      <c r="G328" s="203">
        <v>84.1</v>
      </c>
      <c r="H328" s="259" t="s">
        <v>87</v>
      </c>
      <c r="I328" s="203" t="str">
        <f>VLOOKUP(H328,Sheet4!A:B,2,)</f>
        <v>Gunmetal Machine Face</v>
      </c>
      <c r="J328" s="205">
        <f>4-4+4-4+8-4-4+4-4</f>
        <v>0</v>
      </c>
    </row>
    <row r="329" s="92" customFormat="1" ht="39" customHeight="1" spans="1:10">
      <c r="B329" s="204" t="s">
        <v>1364</v>
      </c>
      <c r="C329" s="203" t="s">
        <v>1344</v>
      </c>
      <c r="D329" s="203" t="s">
        <v>343</v>
      </c>
      <c r="E329" s="252" t="s">
        <v>218</v>
      </c>
      <c r="F329" s="203">
        <v>30</v>
      </c>
      <c r="G329" s="203">
        <v>84.1</v>
      </c>
      <c r="H329" s="203" t="s">
        <v>1095</v>
      </c>
      <c r="I329" s="203" t="str">
        <f>VLOOKUP(H329,Sheet4!A:B,2,)</f>
        <v>MATTE Black LIP</v>
      </c>
      <c r="J329" s="205">
        <f>4-4+8+4-4-4+4-4-4+4-1+8-4-4+9-4-4-4+4-4+8-4+12-4-4-4-4+8-4-4+8+4</f>
        <v>12</v>
      </c>
    </row>
    <row r="330" s="92" customFormat="1" ht="39" customHeight="1" spans="1:10">
      <c r="B330" s="204" t="s">
        <v>1365</v>
      </c>
      <c r="C330" s="203" t="s">
        <v>1344</v>
      </c>
      <c r="D330" s="203" t="s">
        <v>343</v>
      </c>
      <c r="E330" s="252" t="s">
        <v>218</v>
      </c>
      <c r="F330" s="203">
        <v>30</v>
      </c>
      <c r="G330" s="203">
        <v>84.1</v>
      </c>
      <c r="H330" s="203" t="s">
        <v>1093</v>
      </c>
      <c r="I330" s="203" t="str">
        <f>VLOOKUP(H330,Sheet4!A:B,2,)</f>
        <v>Matt Black Machine Red Lip</v>
      </c>
      <c r="J330" s="205">
        <f>4-4+4-4+8-4-4+8-4-4+8-4+8-4-4-4+4-4+4-4+4+4-4-4+8</f>
        <v>8</v>
      </c>
    </row>
    <row r="331" s="92" customFormat="1" ht="39" customHeight="1" spans="1:10">
      <c r="B331" s="204" t="s">
        <v>1366</v>
      </c>
      <c r="C331" s="203" t="s">
        <v>1344</v>
      </c>
      <c r="D331" s="203" t="s">
        <v>343</v>
      </c>
      <c r="E331" s="252" t="s">
        <v>218</v>
      </c>
      <c r="F331" s="203">
        <v>30</v>
      </c>
      <c r="G331" s="203">
        <v>84.1</v>
      </c>
      <c r="H331" s="203" t="s">
        <v>1367</v>
      </c>
      <c r="I331" s="203" t="e">
        <f>VLOOKUP(H331,Sheet4!A:B,2,)</f>
        <v>#N/A</v>
      </c>
      <c r="J331" s="205">
        <f>4-4</f>
        <v>0</v>
      </c>
    </row>
    <row r="332" s="92" customFormat="1" ht="39" customHeight="1" spans="1:10">
      <c r="B332" s="204" t="s">
        <v>1368</v>
      </c>
      <c r="C332" s="203" t="s">
        <v>1344</v>
      </c>
      <c r="D332" s="203" t="s">
        <v>343</v>
      </c>
      <c r="E332" s="252" t="s">
        <v>218</v>
      </c>
      <c r="F332" s="203">
        <v>35</v>
      </c>
      <c r="G332" s="203">
        <v>84.1</v>
      </c>
      <c r="H332" s="203" t="s">
        <v>1093</v>
      </c>
      <c r="I332" s="203" t="str">
        <f>VLOOKUP(H332,Sheet4!A:B,2,)</f>
        <v>Matt Black Machine Red Lip</v>
      </c>
      <c r="J332" s="205">
        <f>4-4+4-4+8-4-4+4-4</f>
        <v>0</v>
      </c>
    </row>
    <row r="333" s="92" customFormat="1" ht="68" customHeight="1" spans="1:10">
      <c r="A333" s="29"/>
      <c r="B333" s="210" t="s">
        <v>1369</v>
      </c>
      <c r="C333" s="212" t="s">
        <v>1344</v>
      </c>
      <c r="D333" s="212" t="s">
        <v>556</v>
      </c>
      <c r="E333" s="212" t="s">
        <v>218</v>
      </c>
      <c r="F333" s="212">
        <v>30</v>
      </c>
      <c r="G333" s="212">
        <v>84.1</v>
      </c>
      <c r="H333" s="212" t="s">
        <v>16</v>
      </c>
      <c r="I333" s="212" t="str">
        <f>VLOOKUP(H333,Sheet4!A:B,2,)</f>
        <v>GLOSS BLACK</v>
      </c>
      <c r="J333" s="214">
        <v>4</v>
      </c>
    </row>
    <row r="334" s="92" customFormat="1" ht="62" customHeight="1" spans="1:10">
      <c r="A334" s="62"/>
      <c r="B334" s="233" t="s">
        <v>1370</v>
      </c>
      <c r="C334" s="207" t="s">
        <v>1344</v>
      </c>
      <c r="D334" s="207" t="s">
        <v>343</v>
      </c>
      <c r="E334" s="207" t="s">
        <v>218</v>
      </c>
      <c r="F334" s="207">
        <v>30</v>
      </c>
      <c r="G334" s="207">
        <v>84.1</v>
      </c>
      <c r="H334" s="207" t="s">
        <v>16</v>
      </c>
      <c r="I334" s="207" t="str">
        <f>VLOOKUP(H334,Sheet4!A:B,2,)</f>
        <v>GLOSS BLACK</v>
      </c>
      <c r="J334" s="227">
        <f>4+4-4-4</f>
        <v>0</v>
      </c>
    </row>
    <row r="335" s="92" customFormat="1" ht="44" customHeight="1" spans="1:10">
      <c r="A335" s="209"/>
      <c r="B335" s="210" t="s">
        <v>1371</v>
      </c>
      <c r="C335" s="203" t="s">
        <v>1372</v>
      </c>
      <c r="D335" s="211" t="s">
        <v>128</v>
      </c>
      <c r="E335" s="212" t="s">
        <v>208</v>
      </c>
      <c r="F335" s="213">
        <v>38</v>
      </c>
      <c r="G335" s="213">
        <v>66.56</v>
      </c>
      <c r="H335" s="212" t="s">
        <v>21</v>
      </c>
      <c r="I335" s="212" t="str">
        <f>VLOOKUP(H335,Sheet4!A:B,2,)</f>
        <v>Black Machine Face</v>
      </c>
      <c r="J335" s="214">
        <f>4-4+4-4+4-4</f>
        <v>0</v>
      </c>
    </row>
    <row r="336" s="92" customFormat="1" ht="44" customHeight="1" spans="1:10">
      <c r="A336" s="201"/>
      <c r="B336" s="202" t="s">
        <v>1373</v>
      </c>
      <c r="C336" s="203" t="s">
        <v>1372</v>
      </c>
      <c r="D336" s="204" t="s">
        <v>12</v>
      </c>
      <c r="E336" s="203" t="s">
        <v>208</v>
      </c>
      <c r="F336" s="208">
        <v>38</v>
      </c>
      <c r="G336" s="208">
        <v>66.56</v>
      </c>
      <c r="H336" s="203" t="s">
        <v>21</v>
      </c>
      <c r="I336" s="203" t="str">
        <f>VLOOKUP(H336,Sheet4!A:B,2,)</f>
        <v>Black Machine Face</v>
      </c>
      <c r="J336" s="205">
        <f>8-4+4+8-4-4-4-4+4-4+4-4+4-4+8+4-4</f>
        <v>8</v>
      </c>
    </row>
    <row r="337" s="92" customFormat="1" ht="44" customHeight="1" spans="1:10">
      <c r="A337" s="206"/>
      <c r="B337" s="233" t="s">
        <v>1374</v>
      </c>
      <c r="C337" s="232" t="s">
        <v>1372</v>
      </c>
      <c r="D337" s="207" t="s">
        <v>44</v>
      </c>
      <c r="E337" s="207" t="s">
        <v>208</v>
      </c>
      <c r="F337" s="216">
        <v>40</v>
      </c>
      <c r="G337" s="216">
        <v>66.56</v>
      </c>
      <c r="H337" s="207" t="s">
        <v>21</v>
      </c>
      <c r="I337" s="207" t="str">
        <f>VLOOKUP(H337,Sheet4!A:B,2,)</f>
        <v>Black Machine Face</v>
      </c>
      <c r="J337" s="227">
        <f>4-4+20-12-8+4</f>
        <v>4</v>
      </c>
    </row>
    <row r="338" s="92" customFormat="1" ht="29" customHeight="1" spans="1:10">
      <c r="B338" s="204" t="s">
        <v>1375</v>
      </c>
      <c r="C338" s="203" t="s">
        <v>1372</v>
      </c>
      <c r="D338" s="202" t="s">
        <v>128</v>
      </c>
      <c r="E338" s="202" t="s">
        <v>208</v>
      </c>
      <c r="F338" s="202">
        <v>38</v>
      </c>
      <c r="G338" s="202">
        <v>66.56</v>
      </c>
      <c r="H338" s="202" t="s">
        <v>21</v>
      </c>
      <c r="I338" s="202" t="str">
        <f>VLOOKUP(H338,Sheet4!A:B,2,)</f>
        <v>Black Machine Face</v>
      </c>
      <c r="J338" s="228">
        <f>8-4-4+20-1-4-4+1-4-4-1+1-4+8-4-4+20-12-4-4+40-4-4-4</f>
        <v>28</v>
      </c>
    </row>
    <row r="339" s="92" customFormat="1" ht="29" customHeight="1" spans="1:10">
      <c r="B339" s="204" t="s">
        <v>1376</v>
      </c>
      <c r="C339" s="203" t="s">
        <v>1372</v>
      </c>
      <c r="D339" s="203" t="s">
        <v>12</v>
      </c>
      <c r="E339" s="203" t="s">
        <v>208</v>
      </c>
      <c r="F339" s="203">
        <v>38</v>
      </c>
      <c r="G339" s="203">
        <v>66.56</v>
      </c>
      <c r="H339" s="203" t="s">
        <v>21</v>
      </c>
      <c r="I339" s="203" t="str">
        <f>VLOOKUP(H339,Sheet4!A:B,2,)</f>
        <v>Black Machine Face</v>
      </c>
      <c r="J339" s="228">
        <f>3+20-4-4-4+20-4-4-4+4-4+20-4-4-4-4-4-1-1-4-4-4+8+20-4+4-4-4-4-4-4-4+20+20-4-4-4-4-1-4-1+8+1-4+4-4-4-4-4-4-4+16-4-4+8-4-4-4-4-4+2-4+8+8-4-4-1+1-4-4-4+4+12-4-4+8-1-4-1-4-4+8+12-1-4-4-4+4-4-4+1-3-1+4</f>
        <v>8</v>
      </c>
    </row>
    <row r="340" s="92" customFormat="1" ht="29" customHeight="1" spans="1:10">
      <c r="B340" s="202" t="s">
        <v>1377</v>
      </c>
      <c r="C340" s="203" t="s">
        <v>1372</v>
      </c>
      <c r="D340" s="203" t="s">
        <v>44</v>
      </c>
      <c r="E340" s="203" t="s">
        <v>208</v>
      </c>
      <c r="F340" s="203">
        <v>40</v>
      </c>
      <c r="G340" s="202">
        <v>66.56</v>
      </c>
      <c r="H340" s="203" t="s">
        <v>21</v>
      </c>
      <c r="I340" s="203" t="str">
        <f>VLOOKUP(H340,Sheet4!A:B,2,)</f>
        <v>Black Machine Face</v>
      </c>
      <c r="J340" s="228">
        <f>12-2-4+2-4-4+8+4-4-4-4+4</f>
        <v>4</v>
      </c>
    </row>
    <row r="341" s="92" customFormat="1" ht="29" customHeight="1" spans="1:10">
      <c r="B341" s="202" t="s">
        <v>1378</v>
      </c>
      <c r="C341" s="203" t="s">
        <v>1379</v>
      </c>
      <c r="D341" s="203" t="s">
        <v>23</v>
      </c>
      <c r="E341" s="203" t="s">
        <v>208</v>
      </c>
      <c r="F341" s="203">
        <v>32</v>
      </c>
      <c r="G341" s="202">
        <v>66.56</v>
      </c>
      <c r="H341" s="203" t="s">
        <v>21</v>
      </c>
      <c r="I341" s="203" t="str">
        <f>VLOOKUP(H341,Sheet4!A:B,2,)</f>
        <v>Black Machine Face</v>
      </c>
      <c r="J341" s="228">
        <f>4-2+6-2-2-2</f>
        <v>2</v>
      </c>
    </row>
    <row r="342" s="92" customFormat="1" ht="29" customHeight="1" spans="1:10">
      <c r="A342" s="62"/>
      <c r="B342" s="233" t="s">
        <v>1378</v>
      </c>
      <c r="C342" s="239" t="s">
        <v>1379</v>
      </c>
      <c r="D342" s="239" t="s">
        <v>482</v>
      </c>
      <c r="E342" s="239" t="s">
        <v>208</v>
      </c>
      <c r="F342" s="207">
        <v>40</v>
      </c>
      <c r="G342" s="233">
        <v>66.56</v>
      </c>
      <c r="H342" s="207" t="s">
        <v>21</v>
      </c>
      <c r="I342" s="207" t="str">
        <f>VLOOKUP(H342,Sheet4!A:B,2,)</f>
        <v>Black Machine Face</v>
      </c>
      <c r="J342" s="251">
        <f>4-2+2-2-2+4-2</f>
        <v>2</v>
      </c>
    </row>
    <row r="343" s="6" customFormat="1" ht="54" customHeight="1" spans="1:10">
      <c r="B343" s="202" t="s">
        <v>1380</v>
      </c>
      <c r="C343" s="203" t="s">
        <v>1372</v>
      </c>
      <c r="D343" s="203" t="s">
        <v>12</v>
      </c>
      <c r="E343" s="203" t="s">
        <v>208</v>
      </c>
      <c r="F343" s="208">
        <v>38</v>
      </c>
      <c r="G343" s="203">
        <v>66.5</v>
      </c>
      <c r="H343" s="203" t="s">
        <v>21</v>
      </c>
      <c r="I343" s="203" t="str">
        <f>VLOOKUP(H343,Sheet4!A:B,2,)</f>
        <v>Black Machine Face</v>
      </c>
      <c r="J343" s="205">
        <v>0</v>
      </c>
    </row>
    <row r="344" s="6" customFormat="1" ht="54" customHeight="1" spans="1:10">
      <c r="A344" s="265"/>
      <c r="B344" s="233" t="s">
        <v>1381</v>
      </c>
      <c r="C344" s="207" t="s">
        <v>1372</v>
      </c>
      <c r="D344" s="207" t="s">
        <v>44</v>
      </c>
      <c r="E344" s="207" t="s">
        <v>208</v>
      </c>
      <c r="F344" s="207">
        <v>40</v>
      </c>
      <c r="G344" s="207">
        <v>66.5</v>
      </c>
      <c r="H344" s="207" t="s">
        <v>21</v>
      </c>
      <c r="I344" s="207" t="str">
        <f>VLOOKUP(H344,Sheet4!A:B,2,)</f>
        <v>Black Machine Face</v>
      </c>
      <c r="J344" s="227">
        <f>4-4+4-4+4-4+4+4</f>
        <v>8</v>
      </c>
    </row>
    <row r="345" s="5" customFormat="1" ht="54" customHeight="1" spans="1:10">
      <c r="A345" s="12"/>
      <c r="B345" s="202" t="s">
        <v>1382</v>
      </c>
      <c r="C345" s="203" t="s">
        <v>1372</v>
      </c>
      <c r="D345" s="203" t="s">
        <v>128</v>
      </c>
      <c r="E345" s="203" t="s">
        <v>208</v>
      </c>
      <c r="F345" s="203">
        <v>38</v>
      </c>
      <c r="G345" s="203">
        <v>66.5</v>
      </c>
      <c r="H345" s="203" t="s">
        <v>53</v>
      </c>
      <c r="I345" s="203" t="str">
        <f>VLOOKUP(H345,Sheet4!A:B,2,)</f>
        <v>polish</v>
      </c>
      <c r="J345" s="205">
        <f>4-4</f>
        <v>0</v>
      </c>
    </row>
    <row r="346" s="5" customFormat="1" ht="54" customHeight="1" spans="1:10">
      <c r="A346" s="270"/>
      <c r="B346" s="233" t="s">
        <v>1383</v>
      </c>
      <c r="C346" s="207" t="s">
        <v>1372</v>
      </c>
      <c r="D346" s="207" t="s">
        <v>12</v>
      </c>
      <c r="E346" s="207" t="s">
        <v>208</v>
      </c>
      <c r="F346" s="207">
        <v>38</v>
      </c>
      <c r="G346" s="207">
        <v>66.5</v>
      </c>
      <c r="H346" s="207" t="s">
        <v>53</v>
      </c>
      <c r="I346" s="207" t="str">
        <f>VLOOKUP(H346,Sheet4!A:B,2,)</f>
        <v>polish</v>
      </c>
      <c r="J346" s="227">
        <f>4</f>
        <v>4</v>
      </c>
    </row>
    <row r="347" s="11" customFormat="1" ht="37" customHeight="1" spans="1:10">
      <c r="A347" s="92"/>
      <c r="B347" s="202" t="s">
        <v>1384</v>
      </c>
      <c r="C347" s="203" t="s">
        <v>1372</v>
      </c>
      <c r="D347" s="203" t="s">
        <v>128</v>
      </c>
      <c r="E347" s="203" t="s">
        <v>208</v>
      </c>
      <c r="F347" s="203">
        <v>38</v>
      </c>
      <c r="G347" s="203">
        <v>66.5</v>
      </c>
      <c r="H347" s="203" t="s">
        <v>53</v>
      </c>
      <c r="I347" s="203" t="str">
        <f>VLOOKUP(H347,Sheet4!A:B,2,)</f>
        <v>polish</v>
      </c>
      <c r="J347" s="205">
        <f>27-4-4-4-4+5-4-4+4-4-4-4+8-4-4+12-4-4-4</f>
        <v>0</v>
      </c>
    </row>
    <row r="348" s="11" customFormat="1" ht="37" customHeight="1" spans="1:10">
      <c r="A348" s="92"/>
      <c r="B348" s="202" t="s">
        <v>1385</v>
      </c>
      <c r="C348" s="203" t="s">
        <v>1372</v>
      </c>
      <c r="D348" s="203" t="s">
        <v>12</v>
      </c>
      <c r="E348" s="203" t="s">
        <v>208</v>
      </c>
      <c r="F348" s="203">
        <v>38</v>
      </c>
      <c r="G348" s="203">
        <v>66.5</v>
      </c>
      <c r="H348" s="203" t="s">
        <v>53</v>
      </c>
      <c r="I348" s="203" t="str">
        <f>VLOOKUP(H348,Sheet4!A:B,2,)</f>
        <v>polish</v>
      </c>
      <c r="J348" s="205">
        <f>20-4-4-4-4-4+4-4+4+4-4-4+4-4+4-4+8-4-4+4+4-4-4</f>
        <v>0</v>
      </c>
    </row>
    <row r="349" s="11" customFormat="1" ht="37" customHeight="1" spans="1:10">
      <c r="A349" s="62"/>
      <c r="B349" s="233" t="s">
        <v>1386</v>
      </c>
      <c r="C349" s="207" t="s">
        <v>1372</v>
      </c>
      <c r="D349" s="207" t="s">
        <v>44</v>
      </c>
      <c r="E349" s="207" t="s">
        <v>208</v>
      </c>
      <c r="F349" s="207">
        <v>40</v>
      </c>
      <c r="G349" s="207">
        <v>66.5</v>
      </c>
      <c r="H349" s="207" t="s">
        <v>53</v>
      </c>
      <c r="I349" s="207" t="str">
        <f>VLOOKUP(H349,Sheet4!A:B,2,)</f>
        <v>polish</v>
      </c>
      <c r="J349" s="227">
        <f>12-4+8-4-4-4</f>
        <v>4</v>
      </c>
    </row>
    <row r="350" s="197" customFormat="1" ht="55" customHeight="1" spans="1:10">
      <c r="A350" s="272"/>
      <c r="B350" s="202" t="s">
        <v>1387</v>
      </c>
      <c r="C350" s="203" t="s">
        <v>1372</v>
      </c>
      <c r="D350" s="202" t="s">
        <v>128</v>
      </c>
      <c r="E350" s="202" t="s">
        <v>208</v>
      </c>
      <c r="F350" s="202">
        <v>38</v>
      </c>
      <c r="G350" s="202">
        <v>66.5</v>
      </c>
      <c r="H350" s="202" t="s">
        <v>53</v>
      </c>
      <c r="I350" s="202" t="str">
        <f>VLOOKUP(H350,Sheet4!A:B,2,)</f>
        <v>polish</v>
      </c>
      <c r="J350" s="228">
        <f>12-4-4-4+8-4-4+4-4</f>
        <v>0</v>
      </c>
    </row>
    <row r="351" s="6" customFormat="1" ht="55" customHeight="1" spans="1:10">
      <c r="A351" s="273"/>
      <c r="B351" s="233" t="s">
        <v>1388</v>
      </c>
      <c r="C351" s="207" t="s">
        <v>1372</v>
      </c>
      <c r="D351" s="216" t="s">
        <v>12</v>
      </c>
      <c r="E351" s="233" t="s">
        <v>208</v>
      </c>
      <c r="F351" s="216">
        <v>38</v>
      </c>
      <c r="G351" s="216">
        <v>66.5</v>
      </c>
      <c r="H351" s="233" t="s">
        <v>53</v>
      </c>
      <c r="I351" s="233" t="str">
        <f>VLOOKUP(H351,Sheet4!A:B,2,)</f>
        <v>polish</v>
      </c>
      <c r="J351" s="251">
        <f>8-4-4+4-4+4-4</f>
        <v>0</v>
      </c>
    </row>
    <row r="352" s="92" customFormat="1" ht="55" customHeight="1" spans="1:10">
      <c r="B352" s="225" t="s">
        <v>1389</v>
      </c>
      <c r="C352" s="203" t="s">
        <v>1372</v>
      </c>
      <c r="D352" s="202" t="s">
        <v>128</v>
      </c>
      <c r="E352" s="202" t="s">
        <v>208</v>
      </c>
      <c r="F352" s="202">
        <v>38</v>
      </c>
      <c r="G352" s="202">
        <v>66.5</v>
      </c>
      <c r="H352" s="202" t="s">
        <v>1060</v>
      </c>
      <c r="I352" s="202" t="str">
        <f>VLOOKUP(H352,Sheet4!A:B,2,)</f>
        <v>gloss black</v>
      </c>
      <c r="J352" s="228">
        <f>4-4+4-4+4-4+8-4-4</f>
        <v>0</v>
      </c>
    </row>
    <row r="353" s="92" customFormat="1" ht="55" customHeight="1" spans="1:10">
      <c r="B353" s="225" t="s">
        <v>1390</v>
      </c>
      <c r="C353" s="203" t="s">
        <v>1372</v>
      </c>
      <c r="D353" s="202" t="s">
        <v>12</v>
      </c>
      <c r="E353" s="202" t="s">
        <v>208</v>
      </c>
      <c r="F353" s="202">
        <v>38</v>
      </c>
      <c r="G353" s="202">
        <v>66.56</v>
      </c>
      <c r="H353" s="202" t="s">
        <v>1060</v>
      </c>
      <c r="I353" s="202" t="str">
        <f>VLOOKUP(H353,Sheet4!A:B,2,)</f>
        <v>gloss black</v>
      </c>
      <c r="J353" s="228">
        <f>4-4+4-4+4-4+4-4+4-4</f>
        <v>0</v>
      </c>
    </row>
    <row r="354" s="92" customFormat="1" ht="62" customHeight="1" spans="1:10">
      <c r="A354" s="29"/>
      <c r="B354" s="210" t="s">
        <v>1391</v>
      </c>
      <c r="C354" s="212" t="s">
        <v>1372</v>
      </c>
      <c r="D354" s="212" t="s">
        <v>128</v>
      </c>
      <c r="E354" s="212" t="s">
        <v>208</v>
      </c>
      <c r="F354" s="212">
        <v>38</v>
      </c>
      <c r="G354" s="212">
        <v>66.56</v>
      </c>
      <c r="H354" s="212" t="s">
        <v>21</v>
      </c>
      <c r="I354" s="212" t="str">
        <f>VLOOKUP(H354,Sheet4!A:B,2,)</f>
        <v>Black Machine Face</v>
      </c>
      <c r="J354" s="214">
        <v>0</v>
      </c>
    </row>
    <row r="355" s="92" customFormat="1" ht="62" customHeight="1" spans="1:10">
      <c r="A355" s="62"/>
      <c r="B355" s="233" t="s">
        <v>1392</v>
      </c>
      <c r="C355" s="207" t="s">
        <v>1372</v>
      </c>
      <c r="D355" s="207" t="s">
        <v>12</v>
      </c>
      <c r="E355" s="207" t="s">
        <v>208</v>
      </c>
      <c r="F355" s="207">
        <v>38</v>
      </c>
      <c r="G355" s="207">
        <v>66.56</v>
      </c>
      <c r="H355" s="207" t="s">
        <v>21</v>
      </c>
      <c r="I355" s="207" t="str">
        <f>VLOOKUP(H355,Sheet4!A:B,2,)</f>
        <v>Black Machine Face</v>
      </c>
      <c r="J355" s="227">
        <v>0</v>
      </c>
    </row>
    <row r="356" s="92" customFormat="1" ht="119" customHeight="1" spans="1:10">
      <c r="B356" s="225" t="s">
        <v>1393</v>
      </c>
      <c r="C356" s="203" t="s">
        <v>1372</v>
      </c>
      <c r="D356" s="208" t="s">
        <v>12</v>
      </c>
      <c r="E356" s="208" t="s">
        <v>208</v>
      </c>
      <c r="F356" s="208">
        <v>38</v>
      </c>
      <c r="G356" s="208">
        <v>66.6</v>
      </c>
      <c r="H356" s="274" t="s">
        <v>317</v>
      </c>
      <c r="I356" s="255" t="str">
        <f>VLOOKUP(H356,Sheet4!A:B,2,)</f>
        <v>MATTE GREY</v>
      </c>
      <c r="J356" s="205">
        <f>13-4-4</f>
        <v>5</v>
      </c>
    </row>
    <row r="357" s="11" customFormat="1" ht="114" customHeight="1" spans="1:10">
      <c r="A357" s="275"/>
      <c r="B357" s="220" t="s">
        <v>1394</v>
      </c>
      <c r="C357" s="222" t="s">
        <v>1372</v>
      </c>
      <c r="D357" s="222" t="s">
        <v>12</v>
      </c>
      <c r="E357" s="222" t="s">
        <v>208</v>
      </c>
      <c r="F357" s="222">
        <v>38</v>
      </c>
      <c r="G357" s="222">
        <v>66.56</v>
      </c>
      <c r="H357" s="222" t="s">
        <v>439</v>
      </c>
      <c r="I357" s="222" t="str">
        <f>VLOOKUP(H357,Sheet4!A:B,2,)</f>
        <v>Gunmetal Machine Face</v>
      </c>
      <c r="J357" s="223">
        <f>13-4</f>
        <v>9</v>
      </c>
    </row>
    <row r="358" s="92" customFormat="1" ht="125" customHeight="1" spans="1:10">
      <c r="B358" s="202" t="s">
        <v>1395</v>
      </c>
      <c r="C358" s="203" t="s">
        <v>1396</v>
      </c>
      <c r="D358" s="203" t="s">
        <v>23</v>
      </c>
      <c r="E358" s="203" t="s">
        <v>164</v>
      </c>
      <c r="F358" s="203">
        <v>40</v>
      </c>
      <c r="G358" s="203">
        <v>84.1</v>
      </c>
      <c r="H358" s="203" t="s">
        <v>53</v>
      </c>
      <c r="I358" s="203" t="str">
        <f>VLOOKUP(H358,Sheet4!A:B,2,)</f>
        <v>polish</v>
      </c>
      <c r="J358" s="205">
        <v>0</v>
      </c>
    </row>
    <row r="359" s="92" customFormat="1" ht="61" customHeight="1" spans="1:10">
      <c r="A359" s="276"/>
      <c r="B359" s="210" t="s">
        <v>1397</v>
      </c>
      <c r="C359" s="212" t="s">
        <v>1398</v>
      </c>
      <c r="D359" s="212" t="s">
        <v>489</v>
      </c>
      <c r="E359" s="212" t="s">
        <v>208</v>
      </c>
      <c r="F359" s="212">
        <v>55</v>
      </c>
      <c r="G359" s="212">
        <v>66.6</v>
      </c>
      <c r="H359" s="212" t="s">
        <v>918</v>
      </c>
      <c r="I359" s="212" t="str">
        <f>VLOOKUP(H359,Sheet4!A:B,2,)</f>
        <v>silver</v>
      </c>
      <c r="J359" s="214">
        <v>2</v>
      </c>
    </row>
    <row r="360" s="92" customFormat="1" ht="61" customHeight="1" spans="1:10">
      <c r="A360" s="267"/>
      <c r="B360" s="233" t="s">
        <v>1399</v>
      </c>
      <c r="C360" s="207" t="s">
        <v>1398</v>
      </c>
      <c r="D360" s="207" t="s">
        <v>1400</v>
      </c>
      <c r="E360" s="207" t="s">
        <v>208</v>
      </c>
      <c r="F360" s="207">
        <v>46</v>
      </c>
      <c r="G360" s="207">
        <v>66.6</v>
      </c>
      <c r="H360" s="207" t="s">
        <v>918</v>
      </c>
      <c r="I360" s="207" t="str">
        <f>VLOOKUP(H360,Sheet4!A:B,2,)</f>
        <v>silver</v>
      </c>
      <c r="J360" s="227">
        <v>2</v>
      </c>
    </row>
    <row r="365" spans="1:10">
      <c r="F365" s="91">
        <f>3350-3160</f>
        <v>190</v>
      </c>
    </row>
  </sheetData>
  <autoFilter xmlns:etc="http://www.wps.cn/officeDocument/2017/etCustomData" ref="A2:J360" etc:filterBottomFollowUsedRange="0">
    <extLst/>
  </autoFilter>
  <mergeCells count="4">
    <mergeCell ref="A3:A4"/>
    <mergeCell ref="A5:A6"/>
    <mergeCell ref="A226:A227"/>
    <mergeCell ref="A230:A231"/>
  </mergeCells>
  <pageMargins left="0.0388888888888889" right="0.0388888888888889" top="0.275" bottom="0.313888888888889" header="0.5" footer="0.0777777777777778"/>
  <pageSetup paperSize="9" scale="60" orientation="landscape" horizontalDpi="600"/>
  <headerFooter>
    <oddFooter>&amp;C&amp;14&amp;B奔驰 第 &amp;P 页，共 &amp;N 页</oddFooter>
  </headerFooter>
  <rowBreaks count="4" manualBreakCount="4">
    <brk id="107" max="9" man="1"/>
    <brk id="296" max="9" man="1"/>
    <brk id="360" max="9" man="1"/>
    <brk id="360" max="16383" man="1"/>
  </rowBreaks>
  <ignoredErrors>
    <ignoredError sqref="G3:H3" numberStoredAsText="1"/>
  </ignoredErrors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indexed="47"/>
  </sheetPr>
  <dimension ref="A1:J152"/>
  <sheetViews>
    <sheetView workbookViewId="0">
      <pane xSplit="1" ySplit="2" topLeftCell="B33" activePane="bottomRight" state="frozen"/>
      <selection/>
      <selection pane="topRight"/>
      <selection pane="bottomLeft"/>
      <selection pane="bottomRight" activeCell="H45" sqref="H45"/>
    </sheetView>
  </sheetViews>
  <sheetFormatPr defaultColWidth="9" defaultRowHeight="13.5"/>
  <cols>
    <col min="1" max="1" width="24.875" style="7" customWidth="1"/>
    <col min="2" max="2" width="17.5" style="90" customWidth="1"/>
    <col min="3" max="3" width="12.875" style="7" customWidth="1"/>
    <col min="4" max="5" width="14" style="7" customWidth="1"/>
    <col min="6" max="6" width="9.25" style="7" customWidth="1"/>
    <col min="7" max="7" width="12.5" style="7" customWidth="1"/>
    <col min="8" max="8" width="15.25" style="7" customWidth="1"/>
    <col min="9" max="9" width="29.5" style="171" customWidth="1"/>
    <col min="10" max="10" width="14" style="7" customWidth="1"/>
    <col min="11" max="16384" width="9" style="7"/>
  </cols>
  <sheetData>
    <row r="1" s="7" customFormat="1" ht="87" customHeight="1" spans="1:10">
      <c r="B1" s="90"/>
      <c r="I1" s="171"/>
    </row>
    <row r="2" s="5" customFormat="1" ht="26" customHeight="1" spans="1:10">
      <c r="A2" s="93" t="s">
        <v>0</v>
      </c>
      <c r="B2" s="94" t="s">
        <v>1</v>
      </c>
      <c r="C2" s="93" t="s">
        <v>2</v>
      </c>
      <c r="D2" s="93" t="s">
        <v>3</v>
      </c>
      <c r="E2" s="93" t="s">
        <v>4</v>
      </c>
      <c r="F2" s="93" t="s">
        <v>5</v>
      </c>
      <c r="G2" s="93" t="s">
        <v>6</v>
      </c>
      <c r="H2" s="93" t="s">
        <v>7</v>
      </c>
      <c r="I2" s="93" t="s">
        <v>8</v>
      </c>
      <c r="J2" s="93" t="s">
        <v>9</v>
      </c>
    </row>
    <row r="3" s="7" customFormat="1" ht="21" customHeight="1" spans="1:10">
      <c r="A3" s="44"/>
      <c r="B3" s="19" t="s">
        <v>1401</v>
      </c>
      <c r="C3" s="42" t="s">
        <v>1402</v>
      </c>
      <c r="D3" s="42" t="s">
        <v>12</v>
      </c>
      <c r="E3" s="42" t="s">
        <v>208</v>
      </c>
      <c r="F3" s="42">
        <v>35</v>
      </c>
      <c r="G3" s="42">
        <v>66.45</v>
      </c>
      <c r="H3" s="42" t="s">
        <v>87</v>
      </c>
      <c r="I3" s="172" t="str">
        <f>VLOOKUP(H3,Sheet4!A:B,2,)</f>
        <v>Gunmetal Machine Face</v>
      </c>
      <c r="J3" s="42">
        <f>12-4-4-4+4-4+4-4+4-4+4+4-4-4+8-4-4+8+8-4-4-4-4+8</f>
        <v>8</v>
      </c>
    </row>
    <row r="4" s="7" customFormat="1" ht="21" customHeight="1" spans="1:10">
      <c r="A4" s="44"/>
      <c r="B4" s="19" t="s">
        <v>1403</v>
      </c>
      <c r="C4" s="42" t="s">
        <v>1402</v>
      </c>
      <c r="D4" s="42" t="s">
        <v>12</v>
      </c>
      <c r="E4" s="42" t="s">
        <v>208</v>
      </c>
      <c r="F4" s="42">
        <v>35</v>
      </c>
      <c r="G4" s="42">
        <v>66.45</v>
      </c>
      <c r="H4" s="42" t="s">
        <v>21</v>
      </c>
      <c r="I4" s="172" t="str">
        <f>VLOOKUP(H4,Sheet4!A:B,2,)</f>
        <v>Black Machine Face</v>
      </c>
      <c r="J4" s="42">
        <f>4+4-4-4+4-4+4+8-4-4-4+8+4</f>
        <v>12</v>
      </c>
    </row>
    <row r="5" s="7" customFormat="1" ht="21" customHeight="1" spans="1:10">
      <c r="A5" s="44"/>
      <c r="B5" s="19" t="s">
        <v>1404</v>
      </c>
      <c r="C5" s="42" t="s">
        <v>1402</v>
      </c>
      <c r="D5" s="42" t="s">
        <v>23</v>
      </c>
      <c r="E5" s="42" t="s">
        <v>208</v>
      </c>
      <c r="F5" s="42">
        <v>30</v>
      </c>
      <c r="G5" s="42">
        <v>66.45</v>
      </c>
      <c r="H5" s="42" t="s">
        <v>87</v>
      </c>
      <c r="I5" s="172" t="str">
        <f>VLOOKUP(H5,Sheet4!A:B,2,)</f>
        <v>Gunmetal Machine Face</v>
      </c>
      <c r="J5" s="42">
        <f>4+4</f>
        <v>8</v>
      </c>
    </row>
    <row r="6" s="7" customFormat="1" ht="21" customHeight="1" spans="1:10">
      <c r="A6" s="44"/>
      <c r="B6" s="19" t="s">
        <v>1405</v>
      </c>
      <c r="C6" s="42" t="s">
        <v>1402</v>
      </c>
      <c r="D6" s="42" t="s">
        <v>23</v>
      </c>
      <c r="E6" s="42" t="s">
        <v>208</v>
      </c>
      <c r="F6" s="42">
        <v>30</v>
      </c>
      <c r="G6" s="42">
        <v>66.45</v>
      </c>
      <c r="H6" s="42" t="s">
        <v>36</v>
      </c>
      <c r="I6" s="172" t="str">
        <f>VLOOKUP(H6,Sheet4!A:B,2,)</f>
        <v>Black Machine Face</v>
      </c>
      <c r="J6" s="42">
        <f>4-4+4-4+4-4+8-4-4+12+12-4-4-4-4-4-4+20-4-4-4-4-4</f>
        <v>0</v>
      </c>
    </row>
    <row r="7" s="7" customFormat="1" ht="21" customHeight="1" spans="1:10">
      <c r="A7" s="44"/>
      <c r="B7" s="19" t="s">
        <v>1406</v>
      </c>
      <c r="C7" s="42" t="s">
        <v>1402</v>
      </c>
      <c r="D7" s="173" t="s">
        <v>1407</v>
      </c>
      <c r="E7" s="42" t="s">
        <v>208</v>
      </c>
      <c r="F7" s="42">
        <v>30</v>
      </c>
      <c r="G7" s="42">
        <v>66.45</v>
      </c>
      <c r="H7" s="42" t="s">
        <v>21</v>
      </c>
      <c r="I7" s="172" t="str">
        <f>VLOOKUP(H7,Sheet4!A:B,2,)</f>
        <v>Black Machine Face</v>
      </c>
      <c r="J7" s="42">
        <f>4-4+12-4-4+8+4+4+4-4-4+4</f>
        <v>20</v>
      </c>
    </row>
    <row r="8" s="7" customFormat="1" ht="21" customHeight="1" spans="1:10">
      <c r="A8" s="46"/>
      <c r="B8" s="23" t="s">
        <v>1408</v>
      </c>
      <c r="C8" s="43" t="s">
        <v>1402</v>
      </c>
      <c r="D8" s="43" t="s">
        <v>29</v>
      </c>
      <c r="E8" s="43" t="s">
        <v>208</v>
      </c>
      <c r="F8" s="43">
        <v>30</v>
      </c>
      <c r="G8" s="43">
        <v>66.45</v>
      </c>
      <c r="H8" s="43" t="s">
        <v>87</v>
      </c>
      <c r="I8" s="174" t="str">
        <f>VLOOKUP(H8,Sheet4!A:B,2,)</f>
        <v>Gunmetal Machine Face</v>
      </c>
      <c r="J8" s="43">
        <f>4-4+16-2-4-4-4-2+8-4-4+8+4+4+12-4-4-4-4-4-4</f>
        <v>4</v>
      </c>
    </row>
    <row r="9" s="7" customFormat="1" ht="55" customHeight="1" spans="1:10">
      <c r="A9" s="44"/>
      <c r="B9" s="141" t="s">
        <v>1409</v>
      </c>
      <c r="C9" s="42" t="s">
        <v>1402</v>
      </c>
      <c r="D9" s="42" t="s">
        <v>23</v>
      </c>
      <c r="E9" s="42" t="s">
        <v>208</v>
      </c>
      <c r="F9" s="42">
        <v>30</v>
      </c>
      <c r="G9" s="42">
        <v>66.45</v>
      </c>
      <c r="H9" s="42" t="s">
        <v>87</v>
      </c>
      <c r="I9" s="172" t="str">
        <f>VLOOKUP(H9,Sheet4!A:B,2,)</f>
        <v>Gunmetal Machine Face</v>
      </c>
      <c r="J9" s="42">
        <v>0</v>
      </c>
    </row>
    <row r="10" s="7" customFormat="1" ht="55" customHeight="1" spans="1:10">
      <c r="A10" s="46"/>
      <c r="B10" s="23" t="s">
        <v>1410</v>
      </c>
      <c r="C10" s="43" t="s">
        <v>1402</v>
      </c>
      <c r="D10" s="43" t="s">
        <v>19</v>
      </c>
      <c r="E10" s="43" t="s">
        <v>208</v>
      </c>
      <c r="F10" s="43">
        <v>28</v>
      </c>
      <c r="G10" s="43">
        <v>66.56</v>
      </c>
      <c r="H10" s="43" t="s">
        <v>87</v>
      </c>
      <c r="I10" s="174" t="str">
        <f>VLOOKUP(H10,Sheet4!A:B,2,)</f>
        <v>Gunmetal Machine Face</v>
      </c>
      <c r="J10" s="43">
        <f>8+4-4-4-4</f>
        <v>0</v>
      </c>
    </row>
    <row r="11" s="7" customFormat="1" ht="39" customHeight="1" spans="1:10">
      <c r="A11" s="44"/>
      <c r="B11" s="19" t="s">
        <v>1411</v>
      </c>
      <c r="C11" s="42" t="s">
        <v>1402</v>
      </c>
      <c r="D11" s="42" t="s">
        <v>23</v>
      </c>
      <c r="E11" s="42" t="s">
        <v>208</v>
      </c>
      <c r="F11" s="42">
        <v>30</v>
      </c>
      <c r="G11" s="42">
        <v>66.45</v>
      </c>
      <c r="H11" s="42" t="s">
        <v>1412</v>
      </c>
      <c r="I11" s="172" t="str">
        <f>VLOOKUP(H11,Sheet4!A:B,2,)</f>
        <v>Gloss Black</v>
      </c>
      <c r="J11" s="42">
        <f>4-4</f>
        <v>0</v>
      </c>
    </row>
    <row r="12" s="7" customFormat="1" ht="39" customHeight="1" spans="1:10">
      <c r="A12" s="44"/>
      <c r="B12" s="19" t="s">
        <v>1413</v>
      </c>
      <c r="C12" s="42" t="s">
        <v>1402</v>
      </c>
      <c r="D12" s="42" t="s">
        <v>23</v>
      </c>
      <c r="E12" s="42" t="s">
        <v>208</v>
      </c>
      <c r="F12" s="42">
        <v>30</v>
      </c>
      <c r="G12" s="42">
        <v>66.45</v>
      </c>
      <c r="H12" s="42" t="s">
        <v>21</v>
      </c>
      <c r="I12" s="172" t="str">
        <f>VLOOKUP(H12,Sheet4!A:B,2,)</f>
        <v>Black Machine Face</v>
      </c>
      <c r="J12" s="42">
        <f>4-4+4-4+8+4-4-4-4+8-4</f>
        <v>4</v>
      </c>
    </row>
    <row r="13" s="7" customFormat="1" ht="39" customHeight="1" spans="1:10">
      <c r="A13" s="46"/>
      <c r="B13" s="23" t="s">
        <v>1414</v>
      </c>
      <c r="C13" s="43" t="s">
        <v>1402</v>
      </c>
      <c r="D13" s="43" t="s">
        <v>19</v>
      </c>
      <c r="E13" s="43" t="s">
        <v>208</v>
      </c>
      <c r="F13" s="43">
        <v>28</v>
      </c>
      <c r="G13" s="43">
        <v>66.45</v>
      </c>
      <c r="H13" s="43" t="s">
        <v>36</v>
      </c>
      <c r="I13" s="174" t="str">
        <f>VLOOKUP(H13,Sheet4!A:B,2,)</f>
        <v>Black Machine Face</v>
      </c>
      <c r="J13" s="43">
        <f>4-4+4-4+4-4+4-4+4</f>
        <v>4</v>
      </c>
    </row>
    <row r="14" s="7" customFormat="1" ht="42" customHeight="1" spans="1:10">
      <c r="A14" s="44"/>
      <c r="B14" s="19" t="s">
        <v>1415</v>
      </c>
      <c r="C14" s="42" t="s">
        <v>1402</v>
      </c>
      <c r="D14" s="42" t="s">
        <v>23</v>
      </c>
      <c r="E14" s="42" t="s">
        <v>208</v>
      </c>
      <c r="F14" s="42">
        <v>30</v>
      </c>
      <c r="G14" s="42">
        <v>66.45</v>
      </c>
      <c r="H14" s="42" t="s">
        <v>21</v>
      </c>
      <c r="I14" s="172" t="str">
        <f>VLOOKUP(H14,Sheet4!A:B,2,)</f>
        <v>Black Machine Face</v>
      </c>
      <c r="J14" s="42">
        <f>8-4</f>
        <v>4</v>
      </c>
    </row>
    <row r="15" s="7" customFormat="1" ht="42" customHeight="1" spans="1:10">
      <c r="A15" s="44"/>
      <c r="B15" s="19" t="s">
        <v>1416</v>
      </c>
      <c r="C15" s="42" t="s">
        <v>1402</v>
      </c>
      <c r="D15" s="42" t="s">
        <v>19</v>
      </c>
      <c r="E15" s="42" t="s">
        <v>208</v>
      </c>
      <c r="F15" s="42">
        <v>28</v>
      </c>
      <c r="G15" s="42">
        <v>66.45</v>
      </c>
      <c r="H15" s="42" t="s">
        <v>21</v>
      </c>
      <c r="I15" s="172" t="str">
        <f>VLOOKUP(H15,Sheet4!A:B,2,)</f>
        <v>Black Machine Face</v>
      </c>
      <c r="J15" s="42">
        <f>8-4-4+8+4-4-4-4+4-4+4-4+4</f>
        <v>4</v>
      </c>
    </row>
    <row r="16" s="7" customFormat="1" ht="42" customHeight="1" spans="1:10">
      <c r="A16" s="46"/>
      <c r="B16" s="23" t="s">
        <v>1417</v>
      </c>
      <c r="C16" s="43" t="s">
        <v>1402</v>
      </c>
      <c r="D16" s="43" t="s">
        <v>31</v>
      </c>
      <c r="E16" s="43" t="s">
        <v>208</v>
      </c>
      <c r="F16" s="43">
        <v>28</v>
      </c>
      <c r="G16" s="43">
        <v>66.45</v>
      </c>
      <c r="H16" s="43" t="s">
        <v>21</v>
      </c>
      <c r="I16" s="174" t="str">
        <f>VLOOKUP(H16,Sheet4!A:B,2,)</f>
        <v>Black Machine Face</v>
      </c>
      <c r="J16" s="43">
        <f>4-4+4-4+4-1+1</f>
        <v>4</v>
      </c>
    </row>
    <row r="17" s="7" customFormat="1" ht="36" customHeight="1" spans="1:10">
      <c r="A17" s="44"/>
      <c r="B17" s="19" t="s">
        <v>1418</v>
      </c>
      <c r="C17" s="42" t="s">
        <v>1419</v>
      </c>
      <c r="D17" s="42" t="s">
        <v>23</v>
      </c>
      <c r="E17" s="42" t="s">
        <v>208</v>
      </c>
      <c r="F17" s="42">
        <v>30</v>
      </c>
      <c r="G17" s="42">
        <v>66.45</v>
      </c>
      <c r="H17" s="42" t="s">
        <v>87</v>
      </c>
      <c r="I17" s="172" t="str">
        <f>VLOOKUP(H17,Sheet4!A:B,2,)</f>
        <v>Gunmetal Machine Face</v>
      </c>
      <c r="J17" s="42">
        <f>4-4+4-4+4-4+4+4-4+8-4-4+4-4+4+4-4-4-4</f>
        <v>0</v>
      </c>
    </row>
    <row r="18" s="7" customFormat="1" ht="36" customHeight="1" spans="1:10">
      <c r="A18" s="46"/>
      <c r="B18" s="19" t="s">
        <v>1420</v>
      </c>
      <c r="C18" s="42" t="s">
        <v>1419</v>
      </c>
      <c r="D18" s="42" t="s">
        <v>23</v>
      </c>
      <c r="E18" s="42" t="s">
        <v>208</v>
      </c>
      <c r="F18" s="42">
        <v>30</v>
      </c>
      <c r="G18" s="42">
        <v>66.45</v>
      </c>
      <c r="H18" s="42" t="s">
        <v>21</v>
      </c>
      <c r="I18" s="172" t="str">
        <f>VLOOKUP(H18,Sheet4!A:B,2,)</f>
        <v>Black Machine Face</v>
      </c>
      <c r="J18" s="42">
        <f>4-4+4-4+8-4-4</f>
        <v>0</v>
      </c>
    </row>
    <row r="19" s="7" customFormat="1" ht="36" customHeight="1" spans="1:10">
      <c r="A19" s="44"/>
      <c r="B19" s="19" t="s">
        <v>1421</v>
      </c>
      <c r="C19" s="21" t="s">
        <v>1419</v>
      </c>
      <c r="D19" s="21" t="s">
        <v>19</v>
      </c>
      <c r="E19" s="21" t="s">
        <v>208</v>
      </c>
      <c r="F19" s="21">
        <v>28</v>
      </c>
      <c r="G19" s="21">
        <v>66.45</v>
      </c>
      <c r="H19" s="21" t="s">
        <v>87</v>
      </c>
      <c r="I19" s="175" t="str">
        <f>VLOOKUP(H19,Sheet4!A:B,2,)</f>
        <v>Gunmetal Machine Face</v>
      </c>
      <c r="J19" s="21">
        <f>8-4-4+8-4</f>
        <v>4</v>
      </c>
    </row>
    <row r="20" s="7" customFormat="1" ht="36" customHeight="1" spans="1:10">
      <c r="A20" s="44"/>
      <c r="B20" s="19" t="s">
        <v>1422</v>
      </c>
      <c r="C20" s="42" t="s">
        <v>1419</v>
      </c>
      <c r="D20" s="42" t="s">
        <v>19</v>
      </c>
      <c r="E20" s="42" t="s">
        <v>208</v>
      </c>
      <c r="F20" s="42">
        <v>28</v>
      </c>
      <c r="G20" s="42">
        <v>66.45</v>
      </c>
      <c r="H20" s="42" t="s">
        <v>21</v>
      </c>
      <c r="I20" s="172" t="str">
        <f>VLOOKUP(H20,Sheet4!A:B,2,)</f>
        <v>Black Machine Face</v>
      </c>
      <c r="J20" s="42">
        <f>4-4+4+4-4+4-4-4+8-4</f>
        <v>4</v>
      </c>
    </row>
    <row r="21" s="7" customFormat="1" ht="63" customHeight="1" spans="1:10">
      <c r="A21" s="56"/>
      <c r="B21" s="53" t="s">
        <v>1423</v>
      </c>
      <c r="C21" s="55" t="s">
        <v>1419</v>
      </c>
      <c r="D21" s="55" t="s">
        <v>23</v>
      </c>
      <c r="E21" s="55" t="s">
        <v>208</v>
      </c>
      <c r="F21" s="55">
        <v>30</v>
      </c>
      <c r="G21" s="55">
        <v>66.45</v>
      </c>
      <c r="H21" s="55" t="s">
        <v>21</v>
      </c>
      <c r="I21" s="176" t="str">
        <f>VLOOKUP(H21,Sheet4!A:B,2,)</f>
        <v>Black Machine Face</v>
      </c>
      <c r="J21" s="55">
        <f>4-4+4-4</f>
        <v>0</v>
      </c>
    </row>
    <row r="22" s="7" customFormat="1" ht="63" customHeight="1" spans="1:10">
      <c r="A22" s="22"/>
      <c r="B22" s="23" t="s">
        <v>1424</v>
      </c>
      <c r="C22" s="43" t="s">
        <v>1419</v>
      </c>
      <c r="D22" s="43" t="s">
        <v>19</v>
      </c>
      <c r="E22" s="43" t="s">
        <v>208</v>
      </c>
      <c r="F22" s="43">
        <v>28</v>
      </c>
      <c r="G22" s="43">
        <v>66.45</v>
      </c>
      <c r="H22" s="43" t="s">
        <v>21</v>
      </c>
      <c r="I22" s="174" t="str">
        <f>VLOOKUP(H22,Sheet4!A:B,2,)</f>
        <v>Black Machine Face</v>
      </c>
      <c r="J22" s="43">
        <v>0</v>
      </c>
    </row>
    <row r="23" s="7" customFormat="1" ht="45" customHeight="1" spans="1:10">
      <c r="A23" s="44"/>
      <c r="B23" s="19" t="s">
        <v>1425</v>
      </c>
      <c r="C23" s="42" t="s">
        <v>1426</v>
      </c>
      <c r="D23" s="42" t="s">
        <v>12</v>
      </c>
      <c r="E23" s="42" t="s">
        <v>208</v>
      </c>
      <c r="F23" s="42">
        <v>30</v>
      </c>
      <c r="G23" s="42">
        <v>66.45</v>
      </c>
      <c r="H23" s="42" t="s">
        <v>87</v>
      </c>
      <c r="I23" s="172" t="str">
        <f>VLOOKUP(H23,Sheet4!A:B,2,)</f>
        <v>Gunmetal Machine Face</v>
      </c>
      <c r="J23" s="42">
        <f>8-4-4+8-4-4+12-4-4-4+4+8-4</f>
        <v>8</v>
      </c>
    </row>
    <row r="24" s="7" customFormat="1" ht="45" customHeight="1" spans="1:10">
      <c r="A24" s="44"/>
      <c r="B24" s="19" t="s">
        <v>1427</v>
      </c>
      <c r="C24" s="42" t="s">
        <v>1426</v>
      </c>
      <c r="D24" s="42" t="s">
        <v>23</v>
      </c>
      <c r="E24" s="42" t="s">
        <v>208</v>
      </c>
      <c r="F24" s="42">
        <v>30</v>
      </c>
      <c r="G24" s="42">
        <v>66.45</v>
      </c>
      <c r="H24" s="42" t="s">
        <v>87</v>
      </c>
      <c r="I24" s="172" t="str">
        <f>VLOOKUP(H24,Sheet4!A:B,2,)</f>
        <v>Gunmetal Machine Face</v>
      </c>
      <c r="J24" s="42">
        <f>4-4+4-4+4-4+4-4+4-4+4-4+8-4-2+2-2+10-4-4-4+8-4-4+12-4-4-4+12-4-4-4+4-4+12-4</f>
        <v>8</v>
      </c>
    </row>
    <row r="25" s="7" customFormat="1" ht="45" customHeight="1" spans="1:10">
      <c r="A25" s="46"/>
      <c r="B25" s="23" t="s">
        <v>1428</v>
      </c>
      <c r="C25" s="43" t="s">
        <v>1426</v>
      </c>
      <c r="D25" s="43" t="s">
        <v>19</v>
      </c>
      <c r="E25" s="43" t="s">
        <v>208</v>
      </c>
      <c r="F25" s="43">
        <v>28</v>
      </c>
      <c r="G25" s="43">
        <v>66.45</v>
      </c>
      <c r="H25" s="43" t="s">
        <v>87</v>
      </c>
      <c r="I25" s="174" t="str">
        <f>VLOOKUP(H25,Sheet4!A:B,2,)</f>
        <v>Gunmetal Machine Face</v>
      </c>
      <c r="J25" s="25">
        <f>4-4+4-4+4-4+8-4-4+4-4+8+8+4-4-4-4+4-4-4-4+4-4+4-4</f>
        <v>0</v>
      </c>
    </row>
    <row r="26" s="7" customFormat="1" ht="40" customHeight="1" spans="1:10">
      <c r="A26" s="44"/>
      <c r="B26" s="19" t="s">
        <v>1429</v>
      </c>
      <c r="C26" s="42" t="s">
        <v>1426</v>
      </c>
      <c r="D26" s="42" t="s">
        <v>23</v>
      </c>
      <c r="E26" s="42" t="s">
        <v>208</v>
      </c>
      <c r="F26" s="42">
        <v>30</v>
      </c>
      <c r="G26" s="42">
        <v>66.45</v>
      </c>
      <c r="H26" s="42" t="s">
        <v>918</v>
      </c>
      <c r="I26" s="172" t="str">
        <f>VLOOKUP(H26,Sheet4!A:B,2,)</f>
        <v>silver</v>
      </c>
      <c r="J26" s="42">
        <f>4-4+4-4+4-4+4-4+4+4-4+4</f>
        <v>8</v>
      </c>
    </row>
    <row r="27" s="7" customFormat="1" ht="40" customHeight="1" spans="1:10">
      <c r="A27" s="44"/>
      <c r="B27" s="19" t="s">
        <v>1430</v>
      </c>
      <c r="C27" s="42" t="s">
        <v>1426</v>
      </c>
      <c r="D27" s="42" t="s">
        <v>19</v>
      </c>
      <c r="E27" s="42" t="s">
        <v>208</v>
      </c>
      <c r="F27" s="42">
        <v>28</v>
      </c>
      <c r="G27" s="42">
        <v>66.45</v>
      </c>
      <c r="H27" s="42" t="s">
        <v>918</v>
      </c>
      <c r="I27" s="172" t="str">
        <f>VLOOKUP(H27,Sheet4!A:B,2,)</f>
        <v>silver</v>
      </c>
      <c r="J27" s="42">
        <f>4-4+4-4+4+8-4-4+4-4</f>
        <v>4</v>
      </c>
    </row>
    <row r="28" s="7" customFormat="1" ht="40" customHeight="1" spans="1:10">
      <c r="A28" s="46"/>
      <c r="B28" s="23" t="s">
        <v>1431</v>
      </c>
      <c r="C28" s="43" t="s">
        <v>1426</v>
      </c>
      <c r="D28" s="43" t="s">
        <v>31</v>
      </c>
      <c r="E28" s="43" t="s">
        <v>208</v>
      </c>
      <c r="F28" s="43">
        <v>28</v>
      </c>
      <c r="G28" s="43">
        <v>66.45</v>
      </c>
      <c r="H28" s="43" t="s">
        <v>918</v>
      </c>
      <c r="I28" s="174" t="str">
        <f>VLOOKUP(H28,Sheet4!A:B,2,)</f>
        <v>silver</v>
      </c>
      <c r="J28" s="43">
        <f>4-4+4-4</f>
        <v>0</v>
      </c>
    </row>
    <row r="29" s="7" customFormat="1" ht="35" customHeight="1" spans="1:10">
      <c r="A29" s="44"/>
      <c r="B29" s="19" t="s">
        <v>1432</v>
      </c>
      <c r="C29" s="42" t="s">
        <v>1426</v>
      </c>
      <c r="D29" s="42" t="s">
        <v>12</v>
      </c>
      <c r="E29" s="42" t="s">
        <v>208</v>
      </c>
      <c r="F29" s="42">
        <v>38</v>
      </c>
      <c r="G29" s="42">
        <v>66.45</v>
      </c>
      <c r="H29" s="42" t="s">
        <v>53</v>
      </c>
      <c r="I29" s="172" t="str">
        <f>VLOOKUP(H29,Sheet4!A:B,2,)</f>
        <v>polish</v>
      </c>
      <c r="J29" s="177">
        <f>4-4+4-4+4+8</f>
        <v>12</v>
      </c>
    </row>
    <row r="30" s="7" customFormat="1" ht="35" customHeight="1" spans="1:10">
      <c r="A30" s="44"/>
      <c r="B30" s="19" t="s">
        <v>1433</v>
      </c>
      <c r="C30" s="42" t="s">
        <v>1426</v>
      </c>
      <c r="D30" s="42" t="s">
        <v>23</v>
      </c>
      <c r="E30" s="42" t="s">
        <v>208</v>
      </c>
      <c r="F30" s="42">
        <v>30</v>
      </c>
      <c r="G30" s="42">
        <v>66.45</v>
      </c>
      <c r="H30" s="42" t="s">
        <v>53</v>
      </c>
      <c r="I30" s="172" t="str">
        <f>VLOOKUP(H30,Sheet4!A:B,2,)</f>
        <v>polish</v>
      </c>
      <c r="J30" s="42">
        <f>20-4+4-4-4-4+4-4-4+16-4+4</f>
        <v>20</v>
      </c>
    </row>
    <row r="31" s="7" customFormat="1" ht="35" customHeight="1" spans="1:10">
      <c r="A31" s="44"/>
      <c r="B31" s="19" t="s">
        <v>1434</v>
      </c>
      <c r="C31" s="42" t="s">
        <v>1426</v>
      </c>
      <c r="D31" s="42" t="s">
        <v>19</v>
      </c>
      <c r="E31" s="42" t="s">
        <v>208</v>
      </c>
      <c r="F31" s="42" t="s">
        <v>1435</v>
      </c>
      <c r="G31" s="42">
        <v>66.45</v>
      </c>
      <c r="H31" s="42" t="s">
        <v>53</v>
      </c>
      <c r="I31" s="172" t="str">
        <f>VLOOKUP(H31,Sheet4!A:B,2,)</f>
        <v>polish</v>
      </c>
      <c r="J31" s="42">
        <v>0</v>
      </c>
    </row>
    <row r="32" s="7" customFormat="1" ht="35" customHeight="1" spans="1:10">
      <c r="A32" s="46"/>
      <c r="B32" s="23" t="s">
        <v>1436</v>
      </c>
      <c r="C32" s="43" t="s">
        <v>1426</v>
      </c>
      <c r="D32" s="43" t="s">
        <v>31</v>
      </c>
      <c r="E32" s="43" t="s">
        <v>208</v>
      </c>
      <c r="F32" s="43">
        <v>28</v>
      </c>
      <c r="G32" s="43">
        <v>66.45</v>
      </c>
      <c r="H32" s="43" t="s">
        <v>53</v>
      </c>
      <c r="I32" s="174" t="str">
        <f>VLOOKUP(H32,Sheet4!A:B,2,)</f>
        <v>polish</v>
      </c>
      <c r="J32" s="43">
        <f>4-4+4-4+4-4+4-4+8+16-4-4-4-4-4+4-8+8-4-4+4-4</f>
        <v>0</v>
      </c>
    </row>
    <row r="33" s="7" customFormat="1" ht="33" customHeight="1" spans="1:10">
      <c r="A33" s="44"/>
      <c r="B33" s="19" t="s">
        <v>1437</v>
      </c>
      <c r="C33" s="42" t="s">
        <v>1438</v>
      </c>
      <c r="D33" s="42" t="s">
        <v>23</v>
      </c>
      <c r="E33" s="42" t="s">
        <v>208</v>
      </c>
      <c r="F33" s="42">
        <v>30</v>
      </c>
      <c r="G33" s="42">
        <v>66.45</v>
      </c>
      <c r="H33" s="42" t="s">
        <v>16</v>
      </c>
      <c r="I33" s="172" t="str">
        <f>VLOOKUP(H33,Sheet4!A:B,2,)</f>
        <v>GLOSS BLACK</v>
      </c>
      <c r="J33" s="42">
        <f>4-4+8-4</f>
        <v>4</v>
      </c>
    </row>
    <row r="34" s="7" customFormat="1" ht="33" customHeight="1" spans="1:10">
      <c r="A34" s="44"/>
      <c r="B34" s="19" t="s">
        <v>1439</v>
      </c>
      <c r="C34" s="42" t="s">
        <v>1438</v>
      </c>
      <c r="D34" s="42" t="s">
        <v>23</v>
      </c>
      <c r="E34" s="42" t="s">
        <v>208</v>
      </c>
      <c r="F34" s="42">
        <v>30</v>
      </c>
      <c r="G34" s="42">
        <v>66.45</v>
      </c>
      <c r="H34" s="42" t="s">
        <v>21</v>
      </c>
      <c r="I34" s="172" t="str">
        <f>VLOOKUP(H34,Sheet4!A:B,2,)</f>
        <v>Black Machine Face</v>
      </c>
      <c r="J34" s="42">
        <v>8</v>
      </c>
    </row>
    <row r="35" s="7" customFormat="1" ht="33" customHeight="1" spans="1:10">
      <c r="A35" s="46"/>
      <c r="B35" s="23" t="s">
        <v>1440</v>
      </c>
      <c r="C35" s="43" t="s">
        <v>1438</v>
      </c>
      <c r="D35" s="43" t="s">
        <v>19</v>
      </c>
      <c r="E35" s="43" t="s">
        <v>208</v>
      </c>
      <c r="F35" s="43">
        <v>28</v>
      </c>
      <c r="G35" s="43">
        <v>66.45</v>
      </c>
      <c r="H35" s="43" t="s">
        <v>21</v>
      </c>
      <c r="I35" s="174" t="str">
        <f>VLOOKUP(H35,Sheet4!A:B,2,)</f>
        <v>Black Machine Face</v>
      </c>
      <c r="J35" s="43">
        <v>8</v>
      </c>
    </row>
    <row r="36" s="7" customFormat="1" ht="55" customHeight="1" spans="1:10">
      <c r="A36" s="44"/>
      <c r="B36" s="19" t="s">
        <v>1441</v>
      </c>
      <c r="C36" s="42" t="s">
        <v>1438</v>
      </c>
      <c r="D36" s="42" t="s">
        <v>23</v>
      </c>
      <c r="E36" s="42" t="s">
        <v>208</v>
      </c>
      <c r="F36" s="42">
        <v>30</v>
      </c>
      <c r="G36" s="42">
        <v>66.45</v>
      </c>
      <c r="H36" s="42" t="s">
        <v>21</v>
      </c>
      <c r="I36" s="172" t="str">
        <f>VLOOKUP(H36,Sheet4!A:B,2,)</f>
        <v>Black Machine Face</v>
      </c>
      <c r="J36" s="42">
        <f>8-4-4+4-4+4-4+4-4</f>
        <v>0</v>
      </c>
    </row>
    <row r="37" s="7" customFormat="1" ht="55" customHeight="1" spans="1:10">
      <c r="A37" s="46"/>
      <c r="B37" s="23" t="s">
        <v>1442</v>
      </c>
      <c r="C37" s="43" t="s">
        <v>1438</v>
      </c>
      <c r="D37" s="43" t="s">
        <v>19</v>
      </c>
      <c r="E37" s="43" t="s">
        <v>208</v>
      </c>
      <c r="F37" s="43">
        <v>28</v>
      </c>
      <c r="G37" s="43">
        <v>66.45</v>
      </c>
      <c r="H37" s="43" t="s">
        <v>21</v>
      </c>
      <c r="I37" s="174" t="str">
        <f>VLOOKUP(H37,Sheet4!A:B,2,)</f>
        <v>Black Machine Face</v>
      </c>
      <c r="J37" s="43">
        <v>12</v>
      </c>
    </row>
    <row r="38" s="7" customFormat="1" ht="27" customHeight="1" spans="1:10">
      <c r="A38" s="44"/>
      <c r="B38" s="19" t="s">
        <v>1443</v>
      </c>
      <c r="C38" s="42" t="s">
        <v>1438</v>
      </c>
      <c r="D38" s="42" t="s">
        <v>12</v>
      </c>
      <c r="E38" s="42" t="s">
        <v>208</v>
      </c>
      <c r="F38" s="42">
        <v>30</v>
      </c>
      <c r="G38" s="42">
        <v>66.45</v>
      </c>
      <c r="H38" s="42" t="s">
        <v>26</v>
      </c>
      <c r="I38" s="172" t="str">
        <f>VLOOKUP(H38,Sheet4!A:B,2,)</f>
        <v>Gloss Black Polisph Face</v>
      </c>
      <c r="J38" s="42">
        <v>0</v>
      </c>
    </row>
    <row r="39" s="7" customFormat="1" ht="27" customHeight="1" spans="1:10">
      <c r="A39" s="44"/>
      <c r="B39" s="19" t="s">
        <v>1444</v>
      </c>
      <c r="C39" s="42" t="s">
        <v>1438</v>
      </c>
      <c r="D39" s="42" t="s">
        <v>12</v>
      </c>
      <c r="E39" s="42" t="s">
        <v>208</v>
      </c>
      <c r="F39" s="42">
        <v>30</v>
      </c>
      <c r="G39" s="42">
        <v>66.45</v>
      </c>
      <c r="H39" s="42" t="s">
        <v>159</v>
      </c>
      <c r="I39" s="172" t="str">
        <f>VLOOKUP(H39,Sheet4!A:B,2,)</f>
        <v>MATTE BLACK</v>
      </c>
      <c r="J39" s="42">
        <f>4-4+12-4-4-4+12-4-4-4+8+4</f>
        <v>12</v>
      </c>
    </row>
    <row r="40" s="7" customFormat="1" ht="27" customHeight="1" spans="1:10">
      <c r="A40" s="44"/>
      <c r="B40" s="19" t="s">
        <v>1445</v>
      </c>
      <c r="C40" s="42" t="s">
        <v>1438</v>
      </c>
      <c r="D40" s="42" t="s">
        <v>23</v>
      </c>
      <c r="E40" s="42" t="s">
        <v>208</v>
      </c>
      <c r="F40" s="42">
        <v>30</v>
      </c>
      <c r="G40" s="42">
        <v>66.45</v>
      </c>
      <c r="H40" s="42" t="s">
        <v>26</v>
      </c>
      <c r="I40" s="172" t="str">
        <f>VLOOKUP(H40,Sheet4!A:B,2,)</f>
        <v>Gloss Black Polisph Face</v>
      </c>
      <c r="J40" s="42">
        <f>8-4+1-1-4</f>
        <v>0</v>
      </c>
    </row>
    <row r="41" s="7" customFormat="1" ht="27" customHeight="1" spans="1:10">
      <c r="A41" s="44"/>
      <c r="B41" s="19" t="s">
        <v>1446</v>
      </c>
      <c r="C41" s="42" t="s">
        <v>1438</v>
      </c>
      <c r="D41" s="42" t="s">
        <v>23</v>
      </c>
      <c r="E41" s="42" t="s">
        <v>208</v>
      </c>
      <c r="F41" s="42">
        <v>30</v>
      </c>
      <c r="G41" s="42">
        <v>66.45</v>
      </c>
      <c r="H41" s="42" t="s">
        <v>159</v>
      </c>
      <c r="I41" s="172" t="str">
        <f>VLOOKUP(H41,Sheet4!A:B,2,)</f>
        <v>MATTE BLACK</v>
      </c>
      <c r="J41" s="42">
        <f>8-4+8-4-4-4+11+1</f>
        <v>12</v>
      </c>
    </row>
    <row r="42" s="7" customFormat="1" ht="27" customHeight="1" spans="1:10">
      <c r="A42" s="44"/>
      <c r="B42" s="19" t="s">
        <v>1447</v>
      </c>
      <c r="C42" s="42" t="s">
        <v>1438</v>
      </c>
      <c r="D42" s="42" t="s">
        <v>23</v>
      </c>
      <c r="E42" s="42" t="s">
        <v>208</v>
      </c>
      <c r="F42" s="42">
        <v>30</v>
      </c>
      <c r="G42" s="42">
        <v>66.45</v>
      </c>
      <c r="H42" s="42" t="s">
        <v>288</v>
      </c>
      <c r="I42" s="172" t="str">
        <f>VLOOKUP(H42,Sheet4!A:B,2,)</f>
        <v>matte bronze</v>
      </c>
      <c r="J42" s="42">
        <f>8-4+8-4-4-4+12-4-4</f>
        <v>4</v>
      </c>
    </row>
    <row r="43" s="7" customFormat="1" ht="27" customHeight="1" spans="1:10">
      <c r="A43" s="44"/>
      <c r="B43" s="19" t="s">
        <v>1448</v>
      </c>
      <c r="C43" s="42" t="s">
        <v>1438</v>
      </c>
      <c r="D43" s="42" t="s">
        <v>23</v>
      </c>
      <c r="E43" s="42" t="s">
        <v>208</v>
      </c>
      <c r="F43" s="42">
        <v>30</v>
      </c>
      <c r="G43" s="42">
        <v>66.45</v>
      </c>
      <c r="H43" s="42" t="s">
        <v>1449</v>
      </c>
      <c r="I43" s="172" t="str">
        <f>VLOOKUP(H43,Sheet4!A:B,2,)</f>
        <v>MATTE GREY</v>
      </c>
      <c r="J43" s="42">
        <f>12-4-4-4+12-4-4</f>
        <v>4</v>
      </c>
    </row>
    <row r="44" s="7" customFormat="1" ht="27" customHeight="1" spans="1:10">
      <c r="A44" s="44"/>
      <c r="B44" s="19" t="s">
        <v>1450</v>
      </c>
      <c r="C44" s="42" t="s">
        <v>1438</v>
      </c>
      <c r="D44" s="42" t="s">
        <v>19</v>
      </c>
      <c r="E44" s="42" t="s">
        <v>208</v>
      </c>
      <c r="F44" s="42" t="s">
        <v>1451</v>
      </c>
      <c r="G44" s="42">
        <v>66.45</v>
      </c>
      <c r="H44" s="42" t="s">
        <v>26</v>
      </c>
      <c r="I44" s="172" t="str">
        <f>VLOOKUP(H44,Sheet4!A:B,2,)</f>
        <v>Gloss Black Polisph Face</v>
      </c>
      <c r="J44" s="42">
        <f>8-4-4+8-4+4-4-4+12-1-4-4+8+4+13-4-4-4+28-4+4-4-4-4-4-4-4-4-4</f>
        <v>12</v>
      </c>
    </row>
    <row r="45" s="7" customFormat="1" ht="27" customHeight="1" spans="1:10">
      <c r="A45" s="44"/>
      <c r="B45" s="19" t="s">
        <v>1452</v>
      </c>
      <c r="C45" s="42" t="s">
        <v>1438</v>
      </c>
      <c r="D45" s="42" t="s">
        <v>19</v>
      </c>
      <c r="E45" s="42" t="s">
        <v>208</v>
      </c>
      <c r="F45" s="42">
        <v>28</v>
      </c>
      <c r="G45" s="42">
        <v>66.45</v>
      </c>
      <c r="H45" s="42" t="s">
        <v>1449</v>
      </c>
      <c r="I45" s="172" t="str">
        <f>VLOOKUP(H45,Sheet4!A:B,2,)</f>
        <v>MATTE GREY</v>
      </c>
      <c r="J45" s="42">
        <f>12-4-1-4+1-4+12-4-4-4+8+12</f>
        <v>20</v>
      </c>
    </row>
    <row r="46" s="7" customFormat="1" ht="27" customHeight="1" spans="1:10">
      <c r="A46" s="44"/>
      <c r="B46" s="19" t="s">
        <v>1453</v>
      </c>
      <c r="C46" s="42" t="s">
        <v>1438</v>
      </c>
      <c r="D46" s="42" t="s">
        <v>19</v>
      </c>
      <c r="E46" s="42" t="s">
        <v>208</v>
      </c>
      <c r="F46" s="42">
        <v>28</v>
      </c>
      <c r="G46" s="42">
        <v>66.45</v>
      </c>
      <c r="H46" s="42" t="s">
        <v>288</v>
      </c>
      <c r="I46" s="172" t="str">
        <f>VLOOKUP(H46,Sheet4!A:B,2,)</f>
        <v>matte bronze</v>
      </c>
      <c r="J46" s="42">
        <f>12-4-4-4</f>
        <v>0</v>
      </c>
    </row>
    <row r="47" s="7" customFormat="1" ht="27" customHeight="1" spans="1:10">
      <c r="A47" s="44"/>
      <c r="B47" s="19" t="s">
        <v>1454</v>
      </c>
      <c r="C47" s="42" t="s">
        <v>1438</v>
      </c>
      <c r="D47" s="42" t="s">
        <v>19</v>
      </c>
      <c r="E47" s="42" t="s">
        <v>208</v>
      </c>
      <c r="F47" s="42">
        <v>28</v>
      </c>
      <c r="G47" s="42">
        <v>66.45</v>
      </c>
      <c r="H47" s="42" t="s">
        <v>16</v>
      </c>
      <c r="I47" s="172" t="str">
        <f>VLOOKUP(H47,Sheet4!A:B,2,)</f>
        <v>GLOSS BLACK</v>
      </c>
      <c r="J47" s="42">
        <f>8-4-4+12-4-4-4+12+8-4-4-4-4-4+8+4-4</f>
        <v>8</v>
      </c>
    </row>
    <row r="48" s="7" customFormat="1" ht="27" customHeight="1" spans="1:10">
      <c r="A48" s="44"/>
      <c r="B48" s="19" t="s">
        <v>1455</v>
      </c>
      <c r="C48" s="42" t="s">
        <v>1438</v>
      </c>
      <c r="D48" s="42" t="s">
        <v>19</v>
      </c>
      <c r="E48" s="42" t="s">
        <v>208</v>
      </c>
      <c r="F48" s="42">
        <v>28</v>
      </c>
      <c r="G48" s="42">
        <v>66.45</v>
      </c>
      <c r="H48" s="42" t="s">
        <v>159</v>
      </c>
      <c r="I48" s="172" t="s">
        <v>527</v>
      </c>
      <c r="J48" s="42">
        <f>12-4</f>
        <v>8</v>
      </c>
    </row>
    <row r="49" s="7" customFormat="1" ht="27" customHeight="1" spans="1:10">
      <c r="A49" s="44"/>
      <c r="B49" s="19" t="s">
        <v>1456</v>
      </c>
      <c r="C49" s="42" t="s">
        <v>1438</v>
      </c>
      <c r="D49" s="42" t="s">
        <v>39</v>
      </c>
      <c r="E49" s="42" t="s">
        <v>208</v>
      </c>
      <c r="F49" s="42">
        <v>28</v>
      </c>
      <c r="G49" s="42">
        <v>66.45</v>
      </c>
      <c r="H49" s="42" t="s">
        <v>159</v>
      </c>
      <c r="I49" s="172" t="str">
        <f>VLOOKUP(H49,Sheet4!A:B,2,)</f>
        <v>MATTE BLACK</v>
      </c>
      <c r="J49" s="42">
        <f>8-4-4+4-4+12-4-4-4+4-4+4-4+8-4-4+8-4+8-4-4-4+4</f>
        <v>4</v>
      </c>
    </row>
    <row r="50" s="7" customFormat="1" ht="27" customHeight="1" spans="1:10">
      <c r="A50" s="112"/>
      <c r="B50" s="49" t="s">
        <v>1457</v>
      </c>
      <c r="C50" s="51" t="s">
        <v>1438</v>
      </c>
      <c r="D50" s="51" t="s">
        <v>39</v>
      </c>
      <c r="E50" s="51" t="s">
        <v>208</v>
      </c>
      <c r="F50" s="51">
        <v>28</v>
      </c>
      <c r="G50" s="51">
        <v>66.45</v>
      </c>
      <c r="H50" s="51" t="s">
        <v>26</v>
      </c>
      <c r="I50" s="178" t="str">
        <f>VLOOKUP(H50,Sheet4!A:B,2,)</f>
        <v>Gloss Black Polisph Face</v>
      </c>
      <c r="J50" s="51">
        <f>12-4-4-4</f>
        <v>0</v>
      </c>
    </row>
    <row r="51" s="7" customFormat="1" ht="61" customHeight="1" spans="1:10">
      <c r="A51" s="131"/>
      <c r="B51" s="134" t="s">
        <v>1458</v>
      </c>
      <c r="C51" s="179" t="s">
        <v>1438</v>
      </c>
      <c r="D51" s="42" t="s">
        <v>23</v>
      </c>
      <c r="E51" s="42" t="s">
        <v>208</v>
      </c>
      <c r="F51" s="42">
        <v>30</v>
      </c>
      <c r="G51" s="42">
        <v>66.45</v>
      </c>
      <c r="H51" s="180" t="s">
        <v>21</v>
      </c>
      <c r="I51" s="181" t="str">
        <f>VLOOKUP(H51,Sheet4!A:B,2,)</f>
        <v>Black Machine Face</v>
      </c>
      <c r="J51" s="42">
        <f>4-4+4-4+4-4</f>
        <v>0</v>
      </c>
    </row>
    <row r="52" s="7" customFormat="1" ht="61" customHeight="1" spans="1:10">
      <c r="A52" s="132"/>
      <c r="B52" s="155" t="s">
        <v>1459</v>
      </c>
      <c r="C52" s="182" t="s">
        <v>1438</v>
      </c>
      <c r="D52" s="43" t="s">
        <v>19</v>
      </c>
      <c r="E52" s="43" t="s">
        <v>208</v>
      </c>
      <c r="F52" s="43">
        <v>28</v>
      </c>
      <c r="G52" s="43">
        <v>66.45</v>
      </c>
      <c r="H52" s="183" t="s">
        <v>21</v>
      </c>
      <c r="I52" s="184" t="str">
        <f>VLOOKUP(H52,Sheet4!A:B,2,)</f>
        <v>Black Machine Face</v>
      </c>
      <c r="J52" s="43">
        <f>8-4-4+4-4+4-4</f>
        <v>0</v>
      </c>
    </row>
    <row r="53" s="7" customFormat="1" ht="36" customHeight="1" spans="1:10">
      <c r="A53" s="131"/>
      <c r="B53" s="134" t="s">
        <v>1460</v>
      </c>
      <c r="C53" s="179" t="s">
        <v>1461</v>
      </c>
      <c r="D53" s="42" t="s">
        <v>23</v>
      </c>
      <c r="E53" s="42" t="s">
        <v>208</v>
      </c>
      <c r="F53" s="42">
        <v>28</v>
      </c>
      <c r="G53" s="42">
        <v>66.45</v>
      </c>
      <c r="H53" s="179" t="s">
        <v>1462</v>
      </c>
      <c r="I53" s="181" t="s">
        <v>1463</v>
      </c>
      <c r="J53" s="42">
        <f>8-4</f>
        <v>4</v>
      </c>
    </row>
    <row r="54" s="7" customFormat="1" ht="36" customHeight="1" spans="1:10">
      <c r="A54" s="44"/>
      <c r="B54" s="141" t="s">
        <v>1464</v>
      </c>
      <c r="C54" s="42" t="s">
        <v>1461</v>
      </c>
      <c r="D54" s="42" t="s">
        <v>19</v>
      </c>
      <c r="E54" s="42" t="s">
        <v>208</v>
      </c>
      <c r="F54" s="42">
        <v>28</v>
      </c>
      <c r="G54" s="42">
        <v>66.45</v>
      </c>
      <c r="H54" s="42" t="s">
        <v>1462</v>
      </c>
      <c r="I54" s="172" t="str">
        <f>VLOOKUP(H54,Sheet4!A:B,2,)</f>
        <v>High-Bright Off-White Silver</v>
      </c>
      <c r="J54" s="42">
        <f>16-4</f>
        <v>12</v>
      </c>
    </row>
    <row r="55" s="7" customFormat="1" ht="36" customHeight="1" spans="1:10">
      <c r="A55" s="112"/>
      <c r="B55" s="185" t="s">
        <v>1465</v>
      </c>
      <c r="C55" s="51" t="s">
        <v>1461</v>
      </c>
      <c r="D55" s="51" t="s">
        <v>31</v>
      </c>
      <c r="E55" s="51" t="s">
        <v>208</v>
      </c>
      <c r="F55" s="51">
        <v>28</v>
      </c>
      <c r="G55" s="51">
        <v>66.45</v>
      </c>
      <c r="H55" s="51" t="s">
        <v>1462</v>
      </c>
      <c r="I55" s="178" t="str">
        <f>VLOOKUP(H55,Sheet4!A:B,2,)</f>
        <v>High-Bright Off-White Silver</v>
      </c>
      <c r="J55" s="51">
        <f>8+4-4-4-4+12</f>
        <v>12</v>
      </c>
    </row>
    <row r="56" s="7" customFormat="1" ht="28" customHeight="1" spans="1:10">
      <c r="A56" s="44"/>
      <c r="B56" s="19" t="s">
        <v>1466</v>
      </c>
      <c r="C56" s="42" t="s">
        <v>1461</v>
      </c>
      <c r="D56" s="42" t="s">
        <v>12</v>
      </c>
      <c r="E56" s="42" t="s">
        <v>208</v>
      </c>
      <c r="F56" s="42">
        <v>35</v>
      </c>
      <c r="G56" s="42">
        <v>66.45</v>
      </c>
      <c r="H56" s="42" t="s">
        <v>36</v>
      </c>
      <c r="I56" s="172" t="str">
        <f>VLOOKUP(H56,Sheet4!A:B,2,)</f>
        <v>Black Machine Face</v>
      </c>
      <c r="J56" s="42">
        <f>5+8-4-4+1-1-4+8-4-4</f>
        <v>1</v>
      </c>
    </row>
    <row r="57" s="7" customFormat="1" ht="28" customHeight="1" spans="1:10">
      <c r="A57" s="44"/>
      <c r="B57" s="19" t="s">
        <v>1467</v>
      </c>
      <c r="C57" s="42" t="s">
        <v>1461</v>
      </c>
      <c r="D57" s="42" t="s">
        <v>12</v>
      </c>
      <c r="E57" s="42" t="s">
        <v>208</v>
      </c>
      <c r="F57" s="42">
        <v>35</v>
      </c>
      <c r="G57" s="42">
        <v>66.45</v>
      </c>
      <c r="H57" s="42" t="s">
        <v>36</v>
      </c>
      <c r="I57" s="172" t="str">
        <f>VLOOKUP(H57,Sheet4!A:B,2,)</f>
        <v>Black Machine Face</v>
      </c>
      <c r="J57" s="42">
        <f>4-4+8+4-4-4</f>
        <v>4</v>
      </c>
    </row>
    <row r="58" s="7" customFormat="1" ht="28" customHeight="1" spans="1:10">
      <c r="A58" s="44"/>
      <c r="B58" s="19" t="s">
        <v>1468</v>
      </c>
      <c r="C58" s="42" t="s">
        <v>1461</v>
      </c>
      <c r="D58" s="42" t="s">
        <v>12</v>
      </c>
      <c r="E58" s="42" t="s">
        <v>208</v>
      </c>
      <c r="F58" s="42">
        <v>35</v>
      </c>
      <c r="G58" s="42">
        <v>66.45</v>
      </c>
      <c r="H58" s="42" t="s">
        <v>16</v>
      </c>
      <c r="I58" s="172" t="str">
        <f>VLOOKUP(H58,Sheet4!A:B,2,)</f>
        <v>GLOSS BLACK</v>
      </c>
      <c r="J58" s="42">
        <f>4-4+8</f>
        <v>8</v>
      </c>
    </row>
    <row r="59" s="7" customFormat="1" ht="28" customHeight="1" spans="1:10">
      <c r="A59" s="44"/>
      <c r="B59" s="19" t="s">
        <v>1469</v>
      </c>
      <c r="C59" s="42" t="s">
        <v>1461</v>
      </c>
      <c r="D59" s="42" t="s">
        <v>23</v>
      </c>
      <c r="E59" s="42" t="s">
        <v>208</v>
      </c>
      <c r="F59" s="42">
        <v>30</v>
      </c>
      <c r="G59" s="42">
        <v>66.45</v>
      </c>
      <c r="H59" s="42" t="s">
        <v>513</v>
      </c>
      <c r="I59" s="172" t="str">
        <f>VLOOKUP(H59,Sheet4!A:B,2,)</f>
        <v>silver Machine Face</v>
      </c>
      <c r="J59" s="42">
        <f>4+4-4+4-4-4+8-4-4+20-4-4-4-4</f>
        <v>4</v>
      </c>
    </row>
    <row r="60" s="7" customFormat="1" ht="28" customHeight="1" spans="1:10">
      <c r="A60" s="44"/>
      <c r="B60" s="19" t="s">
        <v>1470</v>
      </c>
      <c r="C60" s="42" t="s">
        <v>1461</v>
      </c>
      <c r="D60" s="42" t="s">
        <v>23</v>
      </c>
      <c r="E60" s="42" t="s">
        <v>208</v>
      </c>
      <c r="F60" s="42">
        <v>28</v>
      </c>
      <c r="G60" s="42">
        <v>66.45</v>
      </c>
      <c r="H60" s="42" t="s">
        <v>21</v>
      </c>
      <c r="I60" s="172" t="str">
        <f>VLOOKUP(H60,Sheet4!A:B,2,)</f>
        <v>Black Machine Face</v>
      </c>
      <c r="J60" s="42">
        <f>4-4+4+4-4-1+2-1+4-4+1-1-4+12-4-4-4+4+8-4-4-4+4+1-1-4+12-4+16-4-4-4-4-4</f>
        <v>4</v>
      </c>
    </row>
    <row r="61" s="7" customFormat="1" ht="28" customHeight="1" spans="1:10">
      <c r="A61" s="44"/>
      <c r="B61" s="19" t="s">
        <v>1471</v>
      </c>
      <c r="C61" s="42" t="s">
        <v>1461</v>
      </c>
      <c r="D61" s="42" t="s">
        <v>23</v>
      </c>
      <c r="E61" s="42" t="s">
        <v>208</v>
      </c>
      <c r="F61" s="42">
        <v>30</v>
      </c>
      <c r="G61" s="42">
        <v>66.45</v>
      </c>
      <c r="H61" s="42" t="s">
        <v>16</v>
      </c>
      <c r="I61" s="172" t="str">
        <f>VLOOKUP(H61,Sheet4!A:B,2,)</f>
        <v>GLOSS BLACK</v>
      </c>
      <c r="J61" s="42">
        <f>8-4-4+4-4+4-4+8+4-4</f>
        <v>8</v>
      </c>
    </row>
    <row r="62" s="7" customFormat="1" ht="28" customHeight="1" spans="1:10">
      <c r="A62" s="44"/>
      <c r="B62" s="19" t="s">
        <v>1472</v>
      </c>
      <c r="C62" s="42" t="s">
        <v>1461</v>
      </c>
      <c r="D62" s="42" t="s">
        <v>19</v>
      </c>
      <c r="E62" s="42" t="s">
        <v>208</v>
      </c>
      <c r="F62" s="42">
        <v>28</v>
      </c>
      <c r="G62" s="42">
        <v>66.45</v>
      </c>
      <c r="H62" s="42" t="s">
        <v>21</v>
      </c>
      <c r="I62" s="172" t="str">
        <f>VLOOKUP(H62,Sheet4!A:B,2,)</f>
        <v>Black Machine Face</v>
      </c>
      <c r="J62" s="42">
        <v>8</v>
      </c>
    </row>
    <row r="63" s="7" customFormat="1" ht="28" customHeight="1" spans="1:10">
      <c r="A63" s="44"/>
      <c r="B63" s="19" t="s">
        <v>1473</v>
      </c>
      <c r="C63" s="42" t="s">
        <v>1461</v>
      </c>
      <c r="D63" s="42" t="s">
        <v>29</v>
      </c>
      <c r="E63" s="42" t="s">
        <v>208</v>
      </c>
      <c r="F63" s="42">
        <v>28</v>
      </c>
      <c r="G63" s="42">
        <v>66.45</v>
      </c>
      <c r="H63" s="42" t="s">
        <v>513</v>
      </c>
      <c r="I63" s="172" t="str">
        <f>VLOOKUP(H63,Sheet4!A:B,2,)</f>
        <v>silver Machine Face</v>
      </c>
      <c r="J63" s="42">
        <f>4+8-4-4-4+16-4-4-4-4+12-4-4-4+20-4+4-4-4-4-4-4+8-4</f>
        <v>4</v>
      </c>
    </row>
    <row r="64" s="7" customFormat="1" ht="28" customHeight="1" spans="1:10">
      <c r="A64" s="44"/>
      <c r="B64" s="19" t="s">
        <v>1474</v>
      </c>
      <c r="C64" s="42" t="s">
        <v>1461</v>
      </c>
      <c r="D64" s="42" t="s">
        <v>19</v>
      </c>
      <c r="E64" s="42" t="s">
        <v>208</v>
      </c>
      <c r="F64" s="42">
        <v>28</v>
      </c>
      <c r="G64" s="42">
        <v>66.45</v>
      </c>
      <c r="H64" s="42" t="s">
        <v>16</v>
      </c>
      <c r="I64" s="172" t="str">
        <f>VLOOKUP(H64,Sheet4!A:B,2,)</f>
        <v>GLOSS BLACK</v>
      </c>
      <c r="J64" s="42">
        <f>8-4+4-4-4+4-4+4-4+12-4+4-4</f>
        <v>8</v>
      </c>
    </row>
    <row r="65" s="7" customFormat="1" ht="28" customHeight="1" spans="1:10">
      <c r="A65" s="44"/>
      <c r="B65" s="19" t="s">
        <v>1475</v>
      </c>
      <c r="C65" s="42" t="s">
        <v>1461</v>
      </c>
      <c r="D65" s="42" t="s">
        <v>31</v>
      </c>
      <c r="E65" s="42" t="s">
        <v>208</v>
      </c>
      <c r="F65" s="42">
        <v>28</v>
      </c>
      <c r="G65" s="42">
        <v>66.45</v>
      </c>
      <c r="H65" s="42" t="s">
        <v>16</v>
      </c>
      <c r="I65" s="172" t="str">
        <f>VLOOKUP(H65,Sheet4!A:B,2,)</f>
        <v>GLOSS BLACK</v>
      </c>
      <c r="J65" s="42">
        <f>4-4+4-4+4-4+12</f>
        <v>12</v>
      </c>
    </row>
    <row r="66" s="7" customFormat="1" ht="28" customHeight="1" spans="1:10">
      <c r="A66" s="44"/>
      <c r="B66" s="19" t="s">
        <v>1476</v>
      </c>
      <c r="C66" s="42" t="s">
        <v>1461</v>
      </c>
      <c r="D66" s="42" t="s">
        <v>39</v>
      </c>
      <c r="E66" s="42" t="s">
        <v>208</v>
      </c>
      <c r="F66" s="42">
        <v>28</v>
      </c>
      <c r="G66" s="42">
        <v>66.45</v>
      </c>
      <c r="H66" s="42" t="s">
        <v>21</v>
      </c>
      <c r="I66" s="172" t="str">
        <f>VLOOKUP(H66,Sheet4!A:B,2,)</f>
        <v>Black Machine Face</v>
      </c>
      <c r="J66" s="21">
        <f>4-4+4-4+4-4</f>
        <v>0</v>
      </c>
    </row>
    <row r="67" s="7" customFormat="1" ht="28" customHeight="1" spans="1:10">
      <c r="A67" s="44"/>
      <c r="B67" s="19" t="s">
        <v>1477</v>
      </c>
      <c r="C67" s="42" t="s">
        <v>1461</v>
      </c>
      <c r="D67" s="42" t="s">
        <v>1478</v>
      </c>
      <c r="E67" s="42" t="s">
        <v>208</v>
      </c>
      <c r="F67" s="42">
        <v>28</v>
      </c>
      <c r="G67" s="42">
        <v>66.45</v>
      </c>
      <c r="H67" s="42" t="s">
        <v>21</v>
      </c>
      <c r="I67" s="172" t="str">
        <f>VLOOKUP(H67,Sheet4!A:B,2,)</f>
        <v>Black Machine Face</v>
      </c>
      <c r="J67" s="21">
        <f>4-4+4-4+8-4-4</f>
        <v>0</v>
      </c>
    </row>
    <row r="68" s="7" customFormat="1" ht="28" customHeight="1" spans="1:10">
      <c r="A68" s="46"/>
      <c r="B68" s="23" t="s">
        <v>1479</v>
      </c>
      <c r="C68" s="43" t="s">
        <v>1461</v>
      </c>
      <c r="D68" s="43" t="s">
        <v>1478</v>
      </c>
      <c r="E68" s="43" t="s">
        <v>208</v>
      </c>
      <c r="F68" s="43">
        <v>28</v>
      </c>
      <c r="G68" s="43">
        <v>66.45</v>
      </c>
      <c r="H68" s="43" t="s">
        <v>513</v>
      </c>
      <c r="I68" s="174" t="str">
        <f>VLOOKUP(H68,Sheet4!A:B,2,)</f>
        <v>silver Machine Face</v>
      </c>
      <c r="J68" s="25">
        <f>12-4-4-4+12</f>
        <v>12</v>
      </c>
    </row>
    <row r="69" s="7" customFormat="1" ht="30" customHeight="1" spans="1:10">
      <c r="A69" s="44"/>
      <c r="B69" s="134" t="s">
        <v>1480</v>
      </c>
      <c r="C69" s="42" t="s">
        <v>1481</v>
      </c>
      <c r="D69" s="179" t="s">
        <v>12</v>
      </c>
      <c r="E69" s="179" t="s">
        <v>208</v>
      </c>
      <c r="F69" s="186">
        <v>30</v>
      </c>
      <c r="G69" s="179">
        <v>66.45</v>
      </c>
      <c r="H69" s="179" t="s">
        <v>1482</v>
      </c>
      <c r="I69" s="181" t="str">
        <f>VLOOKUP(H69,Sheet4!A:B,2,)</f>
        <v>Glossy black  polish face</v>
      </c>
      <c r="J69" s="21">
        <f>8-4-4+4+4-4-4+12-4-4-4+1-1+4+4-4-4+12-4-4-4+4-4+4-4+12</f>
        <v>12</v>
      </c>
    </row>
    <row r="70" s="7" customFormat="1" ht="30" customHeight="1" spans="1:10">
      <c r="A70" s="44"/>
      <c r="B70" s="134" t="s">
        <v>1483</v>
      </c>
      <c r="C70" s="42" t="s">
        <v>1481</v>
      </c>
      <c r="D70" s="179" t="s">
        <v>23</v>
      </c>
      <c r="E70" s="179" t="s">
        <v>208</v>
      </c>
      <c r="F70" s="186">
        <v>30</v>
      </c>
      <c r="G70" s="179">
        <v>66.45</v>
      </c>
      <c r="H70" s="187" t="s">
        <v>1484</v>
      </c>
      <c r="I70" s="188" t="str">
        <f>VLOOKUP(H70,Sheet4!A:B,2,)</f>
        <v>Glossy black  polish face</v>
      </c>
      <c r="J70" s="21">
        <f>12-4-4-4+4-4+4-4+12+8-12-4-4+8-1-4+4-4+8+1-4-4+8-4-4-4+16-4+4-4-4+12-4-4-4+4-4+4-4-4-4+20-4</f>
        <v>16</v>
      </c>
    </row>
    <row r="71" s="7" customFormat="1" ht="30" customHeight="1" spans="1:10">
      <c r="A71" s="44"/>
      <c r="B71" s="134" t="s">
        <v>1485</v>
      </c>
      <c r="C71" s="42" t="s">
        <v>1481</v>
      </c>
      <c r="D71" s="179" t="s">
        <v>23</v>
      </c>
      <c r="E71" s="179" t="s">
        <v>208</v>
      </c>
      <c r="F71" s="186">
        <v>30</v>
      </c>
      <c r="G71" s="179">
        <v>66.45</v>
      </c>
      <c r="H71" s="187" t="s">
        <v>1486</v>
      </c>
      <c r="I71" s="188" t="str">
        <f>VLOOKUP(H71,Sheet4!A:B,2,)</f>
        <v>Gloss Black Polisph Face</v>
      </c>
      <c r="J71" s="21">
        <f>12-4-4-4+8+4-4-4-4+4-4+4-4+12-4-4-4</f>
        <v>0</v>
      </c>
    </row>
    <row r="72" s="7" customFormat="1" ht="30" customHeight="1" spans="1:10">
      <c r="A72" s="44"/>
      <c r="B72" s="134" t="s">
        <v>1487</v>
      </c>
      <c r="C72" s="42" t="s">
        <v>1481</v>
      </c>
      <c r="D72" s="179" t="s">
        <v>23</v>
      </c>
      <c r="E72" s="179" t="s">
        <v>208</v>
      </c>
      <c r="F72" s="186">
        <v>30</v>
      </c>
      <c r="G72" s="179">
        <v>66.45</v>
      </c>
      <c r="H72" s="179" t="s">
        <v>288</v>
      </c>
      <c r="I72" s="181" t="str">
        <f>VLOOKUP(H72,Sheet4!A:B,2,)</f>
        <v>matte bronze</v>
      </c>
      <c r="J72" s="42">
        <f>4-4+4-4</f>
        <v>0</v>
      </c>
    </row>
    <row r="73" s="7" customFormat="1" ht="30" customHeight="1" spans="1:10">
      <c r="A73" s="44"/>
      <c r="B73" s="134" t="s">
        <v>1488</v>
      </c>
      <c r="C73" s="42" t="s">
        <v>1481</v>
      </c>
      <c r="D73" s="179" t="s">
        <v>19</v>
      </c>
      <c r="E73" s="179" t="s">
        <v>208</v>
      </c>
      <c r="F73" s="186">
        <v>28</v>
      </c>
      <c r="G73" s="179">
        <v>66.45</v>
      </c>
      <c r="H73" s="179" t="s">
        <v>288</v>
      </c>
      <c r="I73" s="181" t="str">
        <f>VLOOKUP(H73,Sheet4!A:B,2,)</f>
        <v>matte bronze</v>
      </c>
      <c r="J73" s="42">
        <f>8-4</f>
        <v>4</v>
      </c>
    </row>
    <row r="74" s="7" customFormat="1" ht="30" customHeight="1" spans="1:10">
      <c r="A74" s="44"/>
      <c r="B74" s="134" t="s">
        <v>1489</v>
      </c>
      <c r="C74" s="42" t="s">
        <v>1481</v>
      </c>
      <c r="D74" s="179" t="s">
        <v>19</v>
      </c>
      <c r="E74" s="179" t="s">
        <v>208</v>
      </c>
      <c r="F74" s="186">
        <v>28</v>
      </c>
      <c r="G74" s="179">
        <v>66.45</v>
      </c>
      <c r="H74" s="187" t="s">
        <v>1490</v>
      </c>
      <c r="I74" s="188" t="str">
        <f>VLOOKUP(H74,Sheet4!A:B,2,)</f>
        <v>Glossy black  polish face</v>
      </c>
      <c r="J74" s="42">
        <f>9-4-4+4+8-4+4+16-4-4-4-4-4-4-4+12-4-4-4+12+16+4-4-4-4-4-4-4-4+16-4-4-4-4-4+4</f>
        <v>5</v>
      </c>
    </row>
    <row r="75" s="7" customFormat="1" ht="30" customHeight="1" spans="1:10">
      <c r="A75" s="44"/>
      <c r="B75" s="134" t="s">
        <v>1491</v>
      </c>
      <c r="C75" s="42" t="s">
        <v>1481</v>
      </c>
      <c r="D75" s="179" t="s">
        <v>19</v>
      </c>
      <c r="E75" s="179" t="s">
        <v>208</v>
      </c>
      <c r="F75" s="186">
        <v>28</v>
      </c>
      <c r="G75" s="179">
        <v>66.45</v>
      </c>
      <c r="H75" s="179" t="s">
        <v>1492</v>
      </c>
      <c r="I75" s="181" t="str">
        <f>VLOOKUP(H75,Sheet4!A:B,2,)</f>
        <v>Gloss Black Polisph Face</v>
      </c>
      <c r="J75" s="42">
        <f>4+4-4-4+4-4+8-4-4</f>
        <v>0</v>
      </c>
    </row>
    <row r="76" s="7" customFormat="1" ht="30" customHeight="1" spans="1:10">
      <c r="A76" s="46"/>
      <c r="B76" s="155" t="s">
        <v>1493</v>
      </c>
      <c r="C76" s="43" t="s">
        <v>1481</v>
      </c>
      <c r="D76" s="182" t="s">
        <v>31</v>
      </c>
      <c r="E76" s="182" t="s">
        <v>208</v>
      </c>
      <c r="F76" s="189">
        <v>25</v>
      </c>
      <c r="G76" s="182">
        <v>66.45</v>
      </c>
      <c r="H76" s="190" t="s">
        <v>1484</v>
      </c>
      <c r="I76" s="191" t="str">
        <f>VLOOKUP(H76,Sheet4!A:B,2,)</f>
        <v>Glossy black  polish face</v>
      </c>
      <c r="J76" s="43">
        <f>4-4+4-4+8-4+4-4-4+4+4</f>
        <v>8</v>
      </c>
    </row>
    <row r="77" s="7" customFormat="1" ht="25" customHeight="1" spans="1:10">
      <c r="A77" s="44"/>
      <c r="B77" s="19" t="s">
        <v>1494</v>
      </c>
      <c r="C77" s="42" t="s">
        <v>1495</v>
      </c>
      <c r="D77" s="42" t="s">
        <v>12</v>
      </c>
      <c r="E77" s="42" t="s">
        <v>208</v>
      </c>
      <c r="F77" s="42">
        <v>30</v>
      </c>
      <c r="G77" s="42">
        <v>66.45</v>
      </c>
      <c r="H77" s="42" t="s">
        <v>21</v>
      </c>
      <c r="I77" s="172" t="str">
        <f>VLOOKUP(H77,Sheet4!A:B,2,)</f>
        <v>Black Machine Face</v>
      </c>
      <c r="J77" s="42">
        <f>8-4-4+4-4</f>
        <v>0</v>
      </c>
    </row>
    <row r="78" s="7" customFormat="1" ht="25" customHeight="1" spans="1:10">
      <c r="A78" s="44"/>
      <c r="B78" s="19" t="s">
        <v>1496</v>
      </c>
      <c r="C78" s="42" t="s">
        <v>1495</v>
      </c>
      <c r="D78" s="42" t="s">
        <v>23</v>
      </c>
      <c r="E78" s="42" t="s">
        <v>208</v>
      </c>
      <c r="F78" s="42">
        <v>28</v>
      </c>
      <c r="G78" s="42">
        <v>66.45</v>
      </c>
      <c r="H78" s="42" t="s">
        <v>1449</v>
      </c>
      <c r="I78" s="172" t="str">
        <f>VLOOKUP(H78,Sheet4!A:B,2,)</f>
        <v>MATTE GREY</v>
      </c>
      <c r="J78" s="42">
        <v>0</v>
      </c>
    </row>
    <row r="79" s="7" customFormat="1" ht="25" customHeight="1" spans="1:10">
      <c r="A79" s="44"/>
      <c r="B79" s="19" t="s">
        <v>1497</v>
      </c>
      <c r="C79" s="42" t="s">
        <v>1495</v>
      </c>
      <c r="D79" s="42" t="s">
        <v>23</v>
      </c>
      <c r="E79" s="42" t="s">
        <v>208</v>
      </c>
      <c r="F79" s="42">
        <v>28</v>
      </c>
      <c r="G79" s="42">
        <v>66.45</v>
      </c>
      <c r="H79" s="42" t="s">
        <v>36</v>
      </c>
      <c r="I79" s="172" t="str">
        <f>VLOOKUP(H79,Sheet4!A:B,2,)</f>
        <v>Black Machine Face</v>
      </c>
      <c r="J79" s="42">
        <f>4-4+8-4-4+4-4+8</f>
        <v>8</v>
      </c>
    </row>
    <row r="80" s="7" customFormat="1" ht="25" customHeight="1" spans="1:10">
      <c r="A80" s="44"/>
      <c r="B80" s="19" t="s">
        <v>1498</v>
      </c>
      <c r="C80" s="42" t="s">
        <v>1495</v>
      </c>
      <c r="D80" s="42" t="s">
        <v>19</v>
      </c>
      <c r="E80" s="42" t="s">
        <v>208</v>
      </c>
      <c r="F80" s="42">
        <v>30</v>
      </c>
      <c r="G80" s="42">
        <v>66.45</v>
      </c>
      <c r="H80" s="42" t="s">
        <v>36</v>
      </c>
      <c r="I80" s="172" t="str">
        <f>VLOOKUP(H80,Sheet4!A:B,2,)</f>
        <v>Black Machine Face</v>
      </c>
      <c r="J80" s="42">
        <f>12-4-4-4+4-4+8-4</f>
        <v>4</v>
      </c>
    </row>
    <row r="81" s="7" customFormat="1" ht="25" customHeight="1" spans="1:10">
      <c r="A81" s="46"/>
      <c r="B81" s="23" t="s">
        <v>1499</v>
      </c>
      <c r="C81" s="43" t="s">
        <v>1495</v>
      </c>
      <c r="D81" s="43" t="s">
        <v>31</v>
      </c>
      <c r="E81" s="43" t="s">
        <v>208</v>
      </c>
      <c r="F81" s="43">
        <v>28</v>
      </c>
      <c r="G81" s="43">
        <v>66.45</v>
      </c>
      <c r="H81" s="43" t="s">
        <v>36</v>
      </c>
      <c r="I81" s="174" t="str">
        <f>VLOOKUP(H81,Sheet4!A:B,2,)</f>
        <v>Black Machine Face</v>
      </c>
      <c r="J81" s="43">
        <f>8-4-4+4-4+4-4</f>
        <v>0</v>
      </c>
    </row>
    <row r="82" s="7" customFormat="1" ht="29" customHeight="1" spans="1:10">
      <c r="A82" s="131"/>
      <c r="B82" s="134" t="s">
        <v>1500</v>
      </c>
      <c r="C82" s="179" t="s">
        <v>1501</v>
      </c>
      <c r="D82" s="180" t="s">
        <v>12</v>
      </c>
      <c r="E82" s="180" t="s">
        <v>208</v>
      </c>
      <c r="F82" s="180">
        <v>30</v>
      </c>
      <c r="G82" s="180">
        <v>66.45</v>
      </c>
      <c r="H82" s="180" t="s">
        <v>36</v>
      </c>
      <c r="I82" s="181" t="str">
        <f>VLOOKUP(H82,Sheet4!A:B,2,)</f>
        <v>Black Machine Face</v>
      </c>
      <c r="J82" s="180">
        <f>4-4+4</f>
        <v>4</v>
      </c>
    </row>
    <row r="83" s="7" customFormat="1" ht="29" customHeight="1" spans="1:10">
      <c r="A83" s="131"/>
      <c r="B83" s="134" t="s">
        <v>1502</v>
      </c>
      <c r="C83" s="179" t="s">
        <v>1501</v>
      </c>
      <c r="D83" s="180" t="s">
        <v>23</v>
      </c>
      <c r="E83" s="180" t="s">
        <v>208</v>
      </c>
      <c r="F83" s="180">
        <v>30</v>
      </c>
      <c r="G83" s="180">
        <v>66.45</v>
      </c>
      <c r="H83" s="180" t="s">
        <v>36</v>
      </c>
      <c r="I83" s="181" t="str">
        <f>VLOOKUP(H83,Sheet4!A:B,2,)</f>
        <v>Black Machine Face</v>
      </c>
      <c r="J83" s="180">
        <f>4-4+8+1-4-4</f>
        <v>1</v>
      </c>
    </row>
    <row r="84" s="7" customFormat="1" ht="29" customHeight="1" spans="1:10">
      <c r="A84" s="131"/>
      <c r="B84" s="134" t="s">
        <v>1503</v>
      </c>
      <c r="C84" s="42" t="s">
        <v>1501</v>
      </c>
      <c r="D84" s="42" t="s">
        <v>19</v>
      </c>
      <c r="E84" s="42" t="s">
        <v>208</v>
      </c>
      <c r="F84" s="42">
        <v>30</v>
      </c>
      <c r="G84" s="42">
        <v>66.45</v>
      </c>
      <c r="H84" s="42" t="s">
        <v>21</v>
      </c>
      <c r="I84" s="172" t="str">
        <f>VLOOKUP(H84,Sheet4!A:B,2,)</f>
        <v>Black Machine Face</v>
      </c>
      <c r="J84" s="42">
        <f>4-4+4-4+4</f>
        <v>4</v>
      </c>
    </row>
    <row r="85" s="7" customFormat="1" ht="29" customHeight="1" spans="1:10">
      <c r="A85" s="132"/>
      <c r="B85" s="155" t="s">
        <v>1504</v>
      </c>
      <c r="C85" s="43" t="s">
        <v>1501</v>
      </c>
      <c r="D85" s="43" t="s">
        <v>39</v>
      </c>
      <c r="E85" s="43" t="s">
        <v>208</v>
      </c>
      <c r="F85" s="43">
        <v>25</v>
      </c>
      <c r="G85" s="43">
        <v>66.45</v>
      </c>
      <c r="H85" s="43" t="s">
        <v>21</v>
      </c>
      <c r="I85" s="174" t="str">
        <f>VLOOKUP(H85,Sheet4!A:B,2,)</f>
        <v>Black Machine Face</v>
      </c>
      <c r="J85" s="43">
        <f>4-4+4-4+4-4+4-4+4</f>
        <v>4</v>
      </c>
    </row>
    <row r="86" s="7" customFormat="1" ht="42" customHeight="1" spans="1:10">
      <c r="A86" s="131"/>
      <c r="B86" s="134" t="s">
        <v>1505</v>
      </c>
      <c r="C86" s="179" t="s">
        <v>1506</v>
      </c>
      <c r="D86" s="180" t="s">
        <v>39</v>
      </c>
      <c r="E86" s="180" t="s">
        <v>208</v>
      </c>
      <c r="F86" s="180">
        <v>28</v>
      </c>
      <c r="G86" s="180">
        <v>66.45</v>
      </c>
      <c r="H86" s="180" t="s">
        <v>87</v>
      </c>
      <c r="I86" s="181" t="str">
        <f>VLOOKUP(H86,Sheet4!A:B,2,)</f>
        <v>Gunmetal Machine Face</v>
      </c>
      <c r="J86" s="180">
        <f>8-4-4+4</f>
        <v>4</v>
      </c>
    </row>
    <row r="87" s="7" customFormat="1" ht="42" customHeight="1" spans="1:10">
      <c r="A87" s="131"/>
      <c r="B87" s="134" t="s">
        <v>1507</v>
      </c>
      <c r="C87" s="179" t="s">
        <v>1508</v>
      </c>
      <c r="D87" s="180" t="s">
        <v>39</v>
      </c>
      <c r="E87" s="180" t="s">
        <v>208</v>
      </c>
      <c r="F87" s="180">
        <v>20</v>
      </c>
      <c r="G87" s="180">
        <v>66.45</v>
      </c>
      <c r="H87" s="180" t="s">
        <v>87</v>
      </c>
      <c r="I87" s="181" t="str">
        <f>VLOOKUP(H87,Sheet4!A:B,2,)</f>
        <v>Gunmetal Machine Face</v>
      </c>
      <c r="J87" s="180">
        <v>8</v>
      </c>
    </row>
    <row r="88" s="7" customFormat="1" ht="42" customHeight="1" spans="1:10">
      <c r="A88" s="132"/>
      <c r="B88" s="155" t="s">
        <v>1509</v>
      </c>
      <c r="C88" s="182" t="s">
        <v>1508</v>
      </c>
      <c r="D88" s="43" t="s">
        <v>343</v>
      </c>
      <c r="E88" s="43" t="s">
        <v>208</v>
      </c>
      <c r="F88" s="43">
        <v>20</v>
      </c>
      <c r="G88" s="43">
        <v>66.45</v>
      </c>
      <c r="H88" s="183" t="s">
        <v>87</v>
      </c>
      <c r="I88" s="184" t="str">
        <f>VLOOKUP(H88,Sheet4!A:B,2,)</f>
        <v>Gunmetal Machine Face</v>
      </c>
      <c r="J88" s="43">
        <f>4-4</f>
        <v>0</v>
      </c>
    </row>
    <row r="89" s="7" customFormat="1" ht="29" customHeight="1" spans="1:10">
      <c r="A89" s="44"/>
      <c r="B89" s="134" t="s">
        <v>1510</v>
      </c>
      <c r="C89" s="42" t="s">
        <v>1501</v>
      </c>
      <c r="D89" s="42" t="s">
        <v>12</v>
      </c>
      <c r="E89" s="179" t="s">
        <v>208</v>
      </c>
      <c r="F89" s="186">
        <v>30</v>
      </c>
      <c r="G89" s="179">
        <v>66.45</v>
      </c>
      <c r="H89" s="179" t="s">
        <v>21</v>
      </c>
      <c r="I89" s="181" t="str">
        <f>VLOOKUP(H89,Sheet4!A:B,2,)</f>
        <v>Black Machine Face</v>
      </c>
      <c r="J89" s="42">
        <f>4-4</f>
        <v>0</v>
      </c>
    </row>
    <row r="90" s="7" customFormat="1" ht="29" customHeight="1" spans="1:10">
      <c r="A90" s="44"/>
      <c r="B90" s="134" t="s">
        <v>1511</v>
      </c>
      <c r="C90" s="42" t="s">
        <v>1501</v>
      </c>
      <c r="D90" s="42" t="s">
        <v>12</v>
      </c>
      <c r="E90" s="179" t="s">
        <v>208</v>
      </c>
      <c r="F90" s="186">
        <v>30</v>
      </c>
      <c r="G90" s="179">
        <v>66.45</v>
      </c>
      <c r="H90" s="179" t="s">
        <v>87</v>
      </c>
      <c r="I90" s="181" t="str">
        <f>VLOOKUP(H90,Sheet4!A:B,2,)</f>
        <v>Gunmetal Machine Face</v>
      </c>
      <c r="J90" s="42">
        <f>4+4-4-4</f>
        <v>0</v>
      </c>
    </row>
    <row r="91" s="7" customFormat="1" ht="29" customHeight="1" spans="1:10">
      <c r="A91" s="44"/>
      <c r="B91" s="134" t="s">
        <v>1512</v>
      </c>
      <c r="C91" s="42" t="s">
        <v>1501</v>
      </c>
      <c r="D91" s="42" t="s">
        <v>23</v>
      </c>
      <c r="E91" s="179" t="s">
        <v>208</v>
      </c>
      <c r="F91" s="186">
        <v>30</v>
      </c>
      <c r="G91" s="179">
        <v>66.45</v>
      </c>
      <c r="H91" s="179" t="s">
        <v>21</v>
      </c>
      <c r="I91" s="181" t="str">
        <f>VLOOKUP(H91,Sheet4!A:B,2,)</f>
        <v>Black Machine Face</v>
      </c>
      <c r="J91" s="42">
        <f>8-4-4+4-4+4+4-4-4+12</f>
        <v>12</v>
      </c>
    </row>
    <row r="92" s="7" customFormat="1" ht="29" customHeight="1" spans="1:10">
      <c r="A92" s="44"/>
      <c r="B92" s="134" t="s">
        <v>1513</v>
      </c>
      <c r="C92" s="42" t="s">
        <v>1501</v>
      </c>
      <c r="D92" s="42" t="s">
        <v>23</v>
      </c>
      <c r="E92" s="179" t="s">
        <v>208</v>
      </c>
      <c r="F92" s="186">
        <v>30</v>
      </c>
      <c r="G92" s="179">
        <v>66.45</v>
      </c>
      <c r="H92" s="179" t="s">
        <v>87</v>
      </c>
      <c r="I92" s="181" t="str">
        <f>VLOOKUP(H92,Sheet4!A:B,2,)</f>
        <v>Gunmetal Machine Face</v>
      </c>
      <c r="J92" s="42">
        <f>4-4+4+4-4-4+4-4+4-4+4+4+4-4+4</f>
        <v>12</v>
      </c>
    </row>
    <row r="93" s="7" customFormat="1" ht="29" customHeight="1" spans="1:10">
      <c r="A93" s="44"/>
      <c r="B93" s="134" t="s">
        <v>1514</v>
      </c>
      <c r="C93" s="42" t="s">
        <v>1501</v>
      </c>
      <c r="D93" s="42" t="s">
        <v>19</v>
      </c>
      <c r="E93" s="179" t="s">
        <v>208</v>
      </c>
      <c r="F93" s="186">
        <v>28</v>
      </c>
      <c r="G93" s="179">
        <v>66.45</v>
      </c>
      <c r="H93" s="179" t="s">
        <v>21</v>
      </c>
      <c r="I93" s="181" t="str">
        <f>VLOOKUP(H93,Sheet4!A:B,2,)</f>
        <v>Black Machine Face</v>
      </c>
      <c r="J93" s="42">
        <f>4-4+12-4-4-4</f>
        <v>0</v>
      </c>
    </row>
    <row r="94" s="7" customFormat="1" ht="29" customHeight="1" spans="1:10">
      <c r="A94" s="44"/>
      <c r="B94" s="134" t="s">
        <v>1515</v>
      </c>
      <c r="C94" s="42" t="s">
        <v>1501</v>
      </c>
      <c r="D94" s="42" t="s">
        <v>19</v>
      </c>
      <c r="E94" s="179" t="s">
        <v>208</v>
      </c>
      <c r="F94" s="186">
        <v>28</v>
      </c>
      <c r="G94" s="179">
        <v>66.45</v>
      </c>
      <c r="H94" s="179" t="s">
        <v>87</v>
      </c>
      <c r="I94" s="181" t="str">
        <f>VLOOKUP(H94,Sheet4!A:B,2,)</f>
        <v>Gunmetal Machine Face</v>
      </c>
      <c r="J94" s="42">
        <f>12-4-4-4+4</f>
        <v>4</v>
      </c>
    </row>
    <row r="95" s="7" customFormat="1" ht="29" customHeight="1" spans="1:10">
      <c r="A95" s="44"/>
      <c r="B95" s="134" t="s">
        <v>1516</v>
      </c>
      <c r="C95" s="42" t="s">
        <v>1501</v>
      </c>
      <c r="D95" s="42" t="s">
        <v>39</v>
      </c>
      <c r="E95" s="179" t="s">
        <v>208</v>
      </c>
      <c r="F95" s="186">
        <v>25</v>
      </c>
      <c r="G95" s="179">
        <v>66.45</v>
      </c>
      <c r="H95" s="179" t="s">
        <v>21</v>
      </c>
      <c r="I95" s="181" t="str">
        <f>VLOOKUP(H95,Sheet4!A:B,2,)</f>
        <v>Black Machine Face</v>
      </c>
      <c r="J95" s="42">
        <f>4-4+4-4+4-4+8-4-4+4-4+8-4</f>
        <v>4</v>
      </c>
    </row>
    <row r="96" s="7" customFormat="1" ht="29" customHeight="1" spans="1:10">
      <c r="A96" s="46"/>
      <c r="B96" s="155" t="s">
        <v>1517</v>
      </c>
      <c r="C96" s="43" t="s">
        <v>1508</v>
      </c>
      <c r="D96" s="43" t="s">
        <v>343</v>
      </c>
      <c r="E96" s="182" t="s">
        <v>208</v>
      </c>
      <c r="F96" s="189">
        <v>25</v>
      </c>
      <c r="G96" s="182">
        <v>66.45</v>
      </c>
      <c r="H96" s="182" t="s">
        <v>21</v>
      </c>
      <c r="I96" s="184" t="str">
        <f>VLOOKUP(H96,Sheet4!A:B,2,)</f>
        <v>Black Machine Face</v>
      </c>
      <c r="J96" s="43">
        <f>12-4-4-4+8</f>
        <v>8</v>
      </c>
    </row>
    <row r="97" s="7" customFormat="1" ht="54" customHeight="1" spans="1:10">
      <c r="A97" s="131"/>
      <c r="B97" s="134" t="s">
        <v>1518</v>
      </c>
      <c r="C97" s="179" t="s">
        <v>1508</v>
      </c>
      <c r="D97" s="42" t="s">
        <v>39</v>
      </c>
      <c r="E97" s="42" t="s">
        <v>208</v>
      </c>
      <c r="F97" s="42">
        <v>22</v>
      </c>
      <c r="G97" s="42">
        <v>66.45</v>
      </c>
      <c r="H97" s="179" t="s">
        <v>1519</v>
      </c>
      <c r="I97" s="181" t="str">
        <f>VLOOKUP(H97,Sheet4!A:B,2,)</f>
        <v>MATTE Black+silver</v>
      </c>
      <c r="J97" s="42">
        <v>0</v>
      </c>
    </row>
    <row r="98" s="7" customFormat="1" ht="56" customHeight="1" spans="1:10">
      <c r="A98" s="132"/>
      <c r="B98" s="155" t="s">
        <v>1520</v>
      </c>
      <c r="C98" s="182" t="s">
        <v>1508</v>
      </c>
      <c r="D98" s="43" t="s">
        <v>343</v>
      </c>
      <c r="E98" s="43" t="s">
        <v>208</v>
      </c>
      <c r="F98" s="43">
        <v>20</v>
      </c>
      <c r="G98" s="43">
        <v>66.45</v>
      </c>
      <c r="H98" s="182" t="s">
        <v>1521</v>
      </c>
      <c r="I98" s="184" t="str">
        <f>VLOOKUP(H98,Sheet4!A:B,2,)</f>
        <v>BLACK+silver</v>
      </c>
      <c r="J98" s="43">
        <v>0</v>
      </c>
    </row>
    <row r="99" s="7" customFormat="1" ht="45" customHeight="1" spans="1:10">
      <c r="A99" s="44"/>
      <c r="B99" s="19" t="s">
        <v>1522</v>
      </c>
      <c r="C99" s="42" t="s">
        <v>1508</v>
      </c>
      <c r="D99" s="42" t="s">
        <v>556</v>
      </c>
      <c r="E99" s="42" t="s">
        <v>208</v>
      </c>
      <c r="F99" s="42">
        <v>20</v>
      </c>
      <c r="G99" s="42">
        <v>66.45</v>
      </c>
      <c r="H99" s="42" t="s">
        <v>36</v>
      </c>
      <c r="I99" s="172" t="str">
        <f>VLOOKUP(H99,Sheet4!A:B,2,)</f>
        <v>Black Machine Face</v>
      </c>
      <c r="J99" s="42">
        <f t="shared" ref="J99:J104" si="0">4-4</f>
        <v>0</v>
      </c>
    </row>
    <row r="100" s="7" customFormat="1" ht="45" customHeight="1" spans="1:10">
      <c r="A100" s="44"/>
      <c r="B100" s="19" t="s">
        <v>1523</v>
      </c>
      <c r="C100" s="42" t="s">
        <v>1508</v>
      </c>
      <c r="D100" s="42" t="s">
        <v>343</v>
      </c>
      <c r="E100" s="42" t="s">
        <v>208</v>
      </c>
      <c r="F100" s="42">
        <v>20</v>
      </c>
      <c r="G100" s="42">
        <v>66.45</v>
      </c>
      <c r="H100" s="42" t="s">
        <v>36</v>
      </c>
      <c r="I100" s="172" t="str">
        <f>VLOOKUP(H100,Sheet4!A:B,2,)</f>
        <v>Black Machine Face</v>
      </c>
      <c r="J100" s="42">
        <f t="shared" si="0"/>
        <v>0</v>
      </c>
    </row>
    <row r="101" s="7" customFormat="1" ht="45" customHeight="1" spans="1:10">
      <c r="A101" s="18"/>
      <c r="B101" s="19" t="s">
        <v>1524</v>
      </c>
      <c r="C101" s="42" t="s">
        <v>1508</v>
      </c>
      <c r="D101" s="42" t="s">
        <v>343</v>
      </c>
      <c r="E101" s="42" t="s">
        <v>208</v>
      </c>
      <c r="F101" s="42">
        <v>20</v>
      </c>
      <c r="G101" s="42">
        <v>66.45</v>
      </c>
      <c r="H101" s="42" t="s">
        <v>16</v>
      </c>
      <c r="I101" s="172" t="str">
        <f>VLOOKUP(H101,Sheet4!A:B,2,)</f>
        <v>GLOSS BLACK</v>
      </c>
      <c r="J101" s="42">
        <f t="shared" si="0"/>
        <v>0</v>
      </c>
    </row>
    <row r="102" s="7" customFormat="1" ht="26" customHeight="1" spans="1:10">
      <c r="A102" s="52"/>
      <c r="B102" s="53" t="s">
        <v>1525</v>
      </c>
      <c r="C102" s="55" t="s">
        <v>1526</v>
      </c>
      <c r="D102" s="55" t="s">
        <v>12</v>
      </c>
      <c r="E102" s="55" t="s">
        <v>208</v>
      </c>
      <c r="F102" s="55">
        <v>28</v>
      </c>
      <c r="G102" s="55">
        <v>66.45</v>
      </c>
      <c r="H102" s="55" t="s">
        <v>21</v>
      </c>
      <c r="I102" s="176" t="str">
        <f>VLOOKUP(H102,Sheet4!A:B,2,)</f>
        <v>Black Machine Face</v>
      </c>
      <c r="J102" s="55">
        <f>8-4-4</f>
        <v>0</v>
      </c>
    </row>
    <row r="103" s="7" customFormat="1" ht="26" customHeight="1" spans="1:10">
      <c r="A103" s="44"/>
      <c r="B103" s="19" t="s">
        <v>1527</v>
      </c>
      <c r="C103" s="42" t="s">
        <v>1526</v>
      </c>
      <c r="D103" s="42" t="s">
        <v>12</v>
      </c>
      <c r="E103" s="42" t="s">
        <v>208</v>
      </c>
      <c r="F103" s="42">
        <v>28</v>
      </c>
      <c r="G103" s="42">
        <v>66.45</v>
      </c>
      <c r="H103" s="42" t="s">
        <v>87</v>
      </c>
      <c r="I103" s="172" t="str">
        <f>VLOOKUP(H103,Sheet4!A:B,2,)</f>
        <v>Gunmetal Machine Face</v>
      </c>
      <c r="J103" s="42">
        <f>4-4</f>
        <v>0</v>
      </c>
    </row>
    <row r="104" s="7" customFormat="1" ht="26" customHeight="1" spans="1:10">
      <c r="A104" s="44"/>
      <c r="B104" s="19" t="s">
        <v>1528</v>
      </c>
      <c r="C104" s="42" t="s">
        <v>1526</v>
      </c>
      <c r="D104" s="42" t="s">
        <v>23</v>
      </c>
      <c r="E104" s="42" t="s">
        <v>208</v>
      </c>
      <c r="F104" s="42">
        <v>28</v>
      </c>
      <c r="G104" s="42">
        <v>67.45</v>
      </c>
      <c r="H104" s="42" t="s">
        <v>87</v>
      </c>
      <c r="I104" s="172" t="str">
        <f>VLOOKUP(H104,Sheet4!A:B,2,)</f>
        <v>Gunmetal Machine Face</v>
      </c>
      <c r="J104" s="42">
        <f>4-4</f>
        <v>0</v>
      </c>
    </row>
    <row r="105" s="7" customFormat="1" ht="26" customHeight="1" spans="1:10">
      <c r="A105" s="44"/>
      <c r="B105" s="19" t="s">
        <v>1529</v>
      </c>
      <c r="C105" s="42" t="s">
        <v>1526</v>
      </c>
      <c r="D105" s="42" t="s">
        <v>19</v>
      </c>
      <c r="E105" s="42" t="s">
        <v>208</v>
      </c>
      <c r="F105" s="42">
        <v>28</v>
      </c>
      <c r="G105" s="42">
        <v>66.45</v>
      </c>
      <c r="H105" s="42" t="s">
        <v>21</v>
      </c>
      <c r="I105" s="172" t="str">
        <f>VLOOKUP(H105,Sheet4!A:B,2,)</f>
        <v>Black Machine Face</v>
      </c>
      <c r="J105" s="42">
        <f>4-4+4</f>
        <v>4</v>
      </c>
    </row>
    <row r="106" s="7" customFormat="1" ht="26" customHeight="1" spans="1:10">
      <c r="A106" s="46"/>
      <c r="B106" s="23" t="s">
        <v>1530</v>
      </c>
      <c r="C106" s="43" t="s">
        <v>1526</v>
      </c>
      <c r="D106" s="43" t="s">
        <v>19</v>
      </c>
      <c r="E106" s="43" t="s">
        <v>208</v>
      </c>
      <c r="F106" s="43">
        <v>28</v>
      </c>
      <c r="G106" s="43">
        <v>66.45</v>
      </c>
      <c r="H106" s="43" t="s">
        <v>87</v>
      </c>
      <c r="I106" s="174" t="str">
        <f>VLOOKUP(H106,Sheet4!A:B,2,)</f>
        <v>Gunmetal Machine Face</v>
      </c>
      <c r="J106" s="43">
        <v>4</v>
      </c>
    </row>
    <row r="107" s="7" customFormat="1" ht="138" customHeight="1" spans="1:10">
      <c r="A107" s="22"/>
      <c r="B107" s="155" t="s">
        <v>1531</v>
      </c>
      <c r="C107" s="192" t="s">
        <v>1532</v>
      </c>
      <c r="D107" s="189" t="s">
        <v>1533</v>
      </c>
      <c r="E107" s="189" t="s">
        <v>208</v>
      </c>
      <c r="F107" s="189">
        <v>30</v>
      </c>
      <c r="G107" s="189">
        <v>66.45</v>
      </c>
      <c r="H107" s="189" t="s">
        <v>87</v>
      </c>
      <c r="I107" s="193" t="str">
        <f>VLOOKUP(H107,Sheet4!A:B,2,)</f>
        <v>Gunmetal Machine Face</v>
      </c>
      <c r="J107" s="25">
        <v>2</v>
      </c>
    </row>
    <row r="108" s="7" customFormat="1" ht="39" customHeight="1" spans="1:10">
      <c r="A108" s="44"/>
      <c r="B108" s="19" t="s">
        <v>1534</v>
      </c>
      <c r="C108" s="42" t="s">
        <v>1535</v>
      </c>
      <c r="D108" s="42" t="s">
        <v>12</v>
      </c>
      <c r="E108" s="42" t="s">
        <v>208</v>
      </c>
      <c r="F108" s="42">
        <v>30</v>
      </c>
      <c r="G108" s="42">
        <v>66.45</v>
      </c>
      <c r="H108" s="42" t="s">
        <v>1135</v>
      </c>
      <c r="I108" s="172" t="str">
        <f>VLOOKUP(H108,Sheet4!A:B,2,)</f>
        <v>Gloss Black LIP </v>
      </c>
      <c r="J108" s="42">
        <f>8-4-4</f>
        <v>0</v>
      </c>
    </row>
    <row r="109" s="7" customFormat="1" ht="39" customHeight="1" spans="1:10">
      <c r="A109" s="44"/>
      <c r="B109" s="19" t="s">
        <v>1536</v>
      </c>
      <c r="C109" s="42" t="s">
        <v>1535</v>
      </c>
      <c r="D109" s="42" t="s">
        <v>23</v>
      </c>
      <c r="E109" s="42" t="s">
        <v>208</v>
      </c>
      <c r="F109" s="42">
        <v>30</v>
      </c>
      <c r="G109" s="42">
        <v>66.45</v>
      </c>
      <c r="H109" s="42" t="s">
        <v>1135</v>
      </c>
      <c r="I109" s="172" t="str">
        <f>VLOOKUP(H109,Sheet4!A:B,2,)</f>
        <v>Gloss Black LIP </v>
      </c>
      <c r="J109" s="42">
        <f>8-4-4</f>
        <v>0</v>
      </c>
    </row>
    <row r="110" s="7" customFormat="1" ht="39" customHeight="1" spans="1:10">
      <c r="A110" s="46"/>
      <c r="B110" s="23" t="s">
        <v>1537</v>
      </c>
      <c r="C110" s="43" t="s">
        <v>1535</v>
      </c>
      <c r="D110" s="43" t="s">
        <v>19</v>
      </c>
      <c r="E110" s="43" t="s">
        <v>208</v>
      </c>
      <c r="F110" s="43">
        <v>28</v>
      </c>
      <c r="G110" s="43">
        <v>66.45</v>
      </c>
      <c r="H110" s="43" t="s">
        <v>1135</v>
      </c>
      <c r="I110" s="174" t="str">
        <f>VLOOKUP(H110,Sheet4!A:B,2,)</f>
        <v>Gloss Black LIP </v>
      </c>
      <c r="J110" s="43">
        <f>0</f>
        <v>0</v>
      </c>
    </row>
    <row r="111" s="7" customFormat="1" ht="33" customHeight="1" spans="1:10">
      <c r="A111" s="44"/>
      <c r="B111" s="19" t="s">
        <v>1538</v>
      </c>
      <c r="C111" s="42" t="s">
        <v>1535</v>
      </c>
      <c r="D111" s="42" t="s">
        <v>12</v>
      </c>
      <c r="E111" s="42" t="s">
        <v>208</v>
      </c>
      <c r="F111" s="42">
        <v>35</v>
      </c>
      <c r="G111" s="42">
        <v>66.45</v>
      </c>
      <c r="H111" s="42" t="s">
        <v>36</v>
      </c>
      <c r="I111" s="172" t="str">
        <f>VLOOKUP(H111,Sheet4!A:B,2,)</f>
        <v>Black Machine Face</v>
      </c>
      <c r="J111" s="42">
        <f>12-4-4-4</f>
        <v>0</v>
      </c>
    </row>
    <row r="112" s="7" customFormat="1" ht="33" customHeight="1" spans="1:10">
      <c r="A112" s="44"/>
      <c r="B112" s="19" t="s">
        <v>1539</v>
      </c>
      <c r="C112" s="42" t="s">
        <v>1535</v>
      </c>
      <c r="D112" s="42" t="s">
        <v>23</v>
      </c>
      <c r="E112" s="42" t="s">
        <v>208</v>
      </c>
      <c r="F112" s="42">
        <v>30</v>
      </c>
      <c r="G112" s="42">
        <v>66.45</v>
      </c>
      <c r="H112" s="42" t="s">
        <v>36</v>
      </c>
      <c r="I112" s="172" t="str">
        <f>VLOOKUP(H112,Sheet4!A:B,2,)</f>
        <v>Black Machine Face</v>
      </c>
      <c r="J112" s="42">
        <f>5-1+1-4+4-4+4-4+4</f>
        <v>5</v>
      </c>
    </row>
    <row r="113" s="7" customFormat="1" ht="33" customHeight="1" spans="1:10">
      <c r="A113" s="44"/>
      <c r="B113" s="19" t="s">
        <v>1540</v>
      </c>
      <c r="C113" s="42" t="s">
        <v>1535</v>
      </c>
      <c r="D113" s="42" t="s">
        <v>19</v>
      </c>
      <c r="E113" s="42" t="s">
        <v>208</v>
      </c>
      <c r="F113" s="42">
        <v>28</v>
      </c>
      <c r="G113" s="42">
        <v>66.45</v>
      </c>
      <c r="H113" s="42" t="s">
        <v>36</v>
      </c>
      <c r="I113" s="172" t="str">
        <f>VLOOKUP(H113,Sheet4!A:B,2,)</f>
        <v>Black Machine Face</v>
      </c>
      <c r="J113" s="42">
        <f>11+1-4+4-4-4-4+4-4</f>
        <v>0</v>
      </c>
    </row>
    <row r="114" s="7" customFormat="1" ht="33" customHeight="1" spans="1:10">
      <c r="A114" s="46"/>
      <c r="B114" s="23" t="s">
        <v>1541</v>
      </c>
      <c r="C114" s="43" t="s">
        <v>1535</v>
      </c>
      <c r="D114" s="43" t="s">
        <v>31</v>
      </c>
      <c r="E114" s="43" t="s">
        <v>208</v>
      </c>
      <c r="F114" s="43">
        <v>28</v>
      </c>
      <c r="G114" s="43">
        <v>66.45</v>
      </c>
      <c r="H114" s="43" t="s">
        <v>36</v>
      </c>
      <c r="I114" s="174" t="str">
        <f>VLOOKUP(H114,Sheet4!A:B,2,)</f>
        <v>Black Machine Face</v>
      </c>
      <c r="J114" s="43">
        <f>4-4+4-4</f>
        <v>0</v>
      </c>
    </row>
    <row r="115" s="7" customFormat="1" ht="120" customHeight="1" spans="1:10">
      <c r="A115" s="22"/>
      <c r="B115" s="23" t="s">
        <v>1542</v>
      </c>
      <c r="C115" s="43" t="s">
        <v>1535</v>
      </c>
      <c r="D115" s="43" t="s">
        <v>56</v>
      </c>
      <c r="E115" s="43" t="s">
        <v>208</v>
      </c>
      <c r="F115" s="43">
        <v>30</v>
      </c>
      <c r="G115" s="43">
        <v>66.5</v>
      </c>
      <c r="H115" s="43" t="s">
        <v>14</v>
      </c>
      <c r="I115" s="174" t="str">
        <f>VLOOKUP(H115,Sheet4!A:B,2,)</f>
        <v>Black Electroplate</v>
      </c>
      <c r="J115" s="43">
        <v>4</v>
      </c>
    </row>
    <row r="116" s="7" customFormat="1" ht="38" customHeight="1" spans="1:10">
      <c r="A116" s="44"/>
      <c r="B116" s="134" t="s">
        <v>1543</v>
      </c>
      <c r="C116" s="42" t="s">
        <v>1544</v>
      </c>
      <c r="D116" s="179" t="s">
        <v>12</v>
      </c>
      <c r="E116" s="179" t="s">
        <v>208</v>
      </c>
      <c r="F116" s="186">
        <v>35</v>
      </c>
      <c r="G116" s="179">
        <v>66.45</v>
      </c>
      <c r="H116" s="179" t="s">
        <v>21</v>
      </c>
      <c r="I116" s="181" t="str">
        <f>VLOOKUP(H116,Sheet4!A:B,2,)</f>
        <v>Black Machine Face</v>
      </c>
      <c r="J116" s="42">
        <f>4-4</f>
        <v>0</v>
      </c>
    </row>
    <row r="117" s="7" customFormat="1" ht="38" customHeight="1" spans="1:10">
      <c r="A117" s="44"/>
      <c r="B117" s="134" t="s">
        <v>1545</v>
      </c>
      <c r="C117" s="42" t="s">
        <v>1544</v>
      </c>
      <c r="D117" s="179" t="s">
        <v>12</v>
      </c>
      <c r="E117" s="179" t="s">
        <v>208</v>
      </c>
      <c r="F117" s="186">
        <v>30</v>
      </c>
      <c r="G117" s="179">
        <v>66.45</v>
      </c>
      <c r="H117" s="179" t="s">
        <v>1122</v>
      </c>
      <c r="I117" s="181" t="str">
        <f>VLOOKUP(H117,Sheet4!A:B,2,)</f>
        <v>Gloss Black LIP </v>
      </c>
      <c r="J117" s="42">
        <f>4-4+8-4-4</f>
        <v>0</v>
      </c>
    </row>
    <row r="118" s="7" customFormat="1" ht="38" customHeight="1" spans="1:10">
      <c r="A118" s="44"/>
      <c r="B118" s="134" t="s">
        <v>1546</v>
      </c>
      <c r="C118" s="42" t="s">
        <v>1544</v>
      </c>
      <c r="D118" s="179" t="s">
        <v>23</v>
      </c>
      <c r="E118" s="179" t="s">
        <v>208</v>
      </c>
      <c r="F118" s="186">
        <v>30</v>
      </c>
      <c r="G118" s="179">
        <v>66.45</v>
      </c>
      <c r="H118" s="179" t="s">
        <v>1122</v>
      </c>
      <c r="I118" s="181" t="str">
        <f>VLOOKUP(H118,Sheet4!A:B,2,)</f>
        <v>Gloss Black LIP </v>
      </c>
      <c r="J118" s="42">
        <v>0</v>
      </c>
    </row>
    <row r="119" s="7" customFormat="1" ht="38" customHeight="1" spans="1:10">
      <c r="A119" s="44"/>
      <c r="B119" s="134" t="s">
        <v>1547</v>
      </c>
      <c r="C119" s="42" t="s">
        <v>1544</v>
      </c>
      <c r="D119" s="179" t="s">
        <v>19</v>
      </c>
      <c r="E119" s="179" t="s">
        <v>208</v>
      </c>
      <c r="F119" s="186">
        <v>28</v>
      </c>
      <c r="G119" s="179">
        <v>66.45</v>
      </c>
      <c r="H119" s="179" t="s">
        <v>1122</v>
      </c>
      <c r="I119" s="181" t="str">
        <f>VLOOKUP(H119,Sheet4!A:B,2,)</f>
        <v>Gloss Black LIP </v>
      </c>
      <c r="J119" s="42">
        <f>1+4-4</f>
        <v>1</v>
      </c>
    </row>
    <row r="120" s="7" customFormat="1" ht="38" customHeight="1" spans="1:10">
      <c r="A120" s="44"/>
      <c r="B120" s="134" t="s">
        <v>1548</v>
      </c>
      <c r="C120" s="42" t="s">
        <v>1544</v>
      </c>
      <c r="D120" s="179" t="s">
        <v>19</v>
      </c>
      <c r="E120" s="179" t="s">
        <v>208</v>
      </c>
      <c r="F120" s="186">
        <v>28</v>
      </c>
      <c r="G120" s="179">
        <v>66.45</v>
      </c>
      <c r="H120" s="179" t="s">
        <v>21</v>
      </c>
      <c r="I120" s="181" t="str">
        <f>VLOOKUP(H120,Sheet4!A:B,2,)</f>
        <v>Black Machine Face</v>
      </c>
      <c r="J120" s="42">
        <v>0</v>
      </c>
    </row>
    <row r="121" s="7" customFormat="1" ht="38" customHeight="1" spans="1:10">
      <c r="A121" s="46"/>
      <c r="B121" s="155" t="s">
        <v>1549</v>
      </c>
      <c r="C121" s="43" t="s">
        <v>1544</v>
      </c>
      <c r="D121" s="182" t="s">
        <v>39</v>
      </c>
      <c r="E121" s="182" t="s">
        <v>208</v>
      </c>
      <c r="F121" s="189">
        <v>25</v>
      </c>
      <c r="G121" s="182">
        <v>66.4</v>
      </c>
      <c r="H121" s="182" t="s">
        <v>1122</v>
      </c>
      <c r="I121" s="184" t="str">
        <f>VLOOKUP(H121,Sheet4!A:B,2,)</f>
        <v>Gloss Black LIP </v>
      </c>
      <c r="J121" s="43">
        <f>4+4-4-4+4-4+4-4</f>
        <v>0</v>
      </c>
    </row>
    <row r="122" s="7" customFormat="1" ht="20" customHeight="1" spans="1:10">
      <c r="A122" s="44"/>
      <c r="B122" s="19" t="s">
        <v>1550</v>
      </c>
      <c r="C122" s="42" t="s">
        <v>1544</v>
      </c>
      <c r="D122" s="42" t="s">
        <v>12</v>
      </c>
      <c r="E122" s="42" t="s">
        <v>208</v>
      </c>
      <c r="F122" s="42" t="s">
        <v>155</v>
      </c>
      <c r="G122" s="42">
        <v>66.45</v>
      </c>
      <c r="H122" s="42" t="s">
        <v>16</v>
      </c>
      <c r="I122" s="172" t="str">
        <f>VLOOKUP(H122,Sheet4!A:B,2,)</f>
        <v>GLOSS BLACK</v>
      </c>
      <c r="J122" s="42">
        <f>4+4+8-4-4-4</f>
        <v>4</v>
      </c>
    </row>
    <row r="123" s="7" customFormat="1" ht="20" customHeight="1" spans="1:10">
      <c r="A123" s="44"/>
      <c r="B123" s="19" t="s">
        <v>1551</v>
      </c>
      <c r="C123" s="21" t="s">
        <v>1544</v>
      </c>
      <c r="D123" s="21" t="s">
        <v>23</v>
      </c>
      <c r="E123" s="21" t="s">
        <v>208</v>
      </c>
      <c r="F123" s="21">
        <v>30</v>
      </c>
      <c r="G123" s="21">
        <v>66.45</v>
      </c>
      <c r="H123" s="21" t="s">
        <v>1552</v>
      </c>
      <c r="I123" s="175" t="str">
        <f>VLOOKUP(H123,Sheet4!A:B,2,)</f>
        <v>gloss black+red inside</v>
      </c>
      <c r="J123" s="21">
        <f>8-4+4-4-4+8-1-4+1-4+8-4-4+4-4+4-4+4-4+4+4-4-4</f>
        <v>0</v>
      </c>
    </row>
    <row r="124" s="7" customFormat="1" ht="20" customHeight="1" spans="1:10">
      <c r="A124" s="44"/>
      <c r="B124" s="19" t="s">
        <v>1553</v>
      </c>
      <c r="C124" s="42" t="s">
        <v>1544</v>
      </c>
      <c r="D124" s="42" t="s">
        <v>23</v>
      </c>
      <c r="E124" s="42" t="s">
        <v>208</v>
      </c>
      <c r="F124" s="42">
        <v>30</v>
      </c>
      <c r="G124" s="42">
        <v>66.45</v>
      </c>
      <c r="H124" s="42" t="s">
        <v>16</v>
      </c>
      <c r="I124" s="172" t="str">
        <f>VLOOKUP(H124,Sheet4!A:B,2,)</f>
        <v>GLOSS BLACK</v>
      </c>
      <c r="J124" s="42">
        <f>4+8-4-4-4+8-4-4+8-4-4+4+4-4-4</f>
        <v>0</v>
      </c>
    </row>
    <row r="125" s="7" customFormat="1" ht="20" customHeight="1" spans="1:10">
      <c r="A125" s="44"/>
      <c r="B125" s="19" t="s">
        <v>1554</v>
      </c>
      <c r="C125" s="42" t="s">
        <v>1544</v>
      </c>
      <c r="D125" s="42" t="s">
        <v>19</v>
      </c>
      <c r="E125" s="42" t="s">
        <v>208</v>
      </c>
      <c r="F125" s="42">
        <v>28</v>
      </c>
      <c r="G125" s="42">
        <v>66.45</v>
      </c>
      <c r="H125" s="42" t="s">
        <v>16</v>
      </c>
      <c r="I125" s="172" t="str">
        <f>VLOOKUP(H125,Sheet4!A:B,2,)</f>
        <v>GLOSS BLACK</v>
      </c>
      <c r="J125" s="42">
        <f>4-4+4+4-4-4+12-4-4+1-1-4+4-4+4-4+12</f>
        <v>12</v>
      </c>
    </row>
    <row r="126" s="7" customFormat="1" ht="20" customHeight="1" spans="1:10">
      <c r="A126" s="44"/>
      <c r="B126" s="19" t="s">
        <v>1555</v>
      </c>
      <c r="C126" s="42" t="s">
        <v>1544</v>
      </c>
      <c r="D126" s="42" t="s">
        <v>19</v>
      </c>
      <c r="E126" s="42" t="s">
        <v>208</v>
      </c>
      <c r="F126" s="42">
        <v>28</v>
      </c>
      <c r="G126" s="42">
        <v>66.45</v>
      </c>
      <c r="H126" s="42" t="s">
        <v>1552</v>
      </c>
      <c r="I126" s="172" t="str">
        <f>VLOOKUP(H126,Sheet4!A:B,2,)</f>
        <v>gloss black+red inside</v>
      </c>
      <c r="J126" s="42">
        <f>4-4+4-4+4-4+4-4+4-4+8-4-4+4+4-4-4+4-4+4-4+8</f>
        <v>8</v>
      </c>
    </row>
    <row r="127" s="7" customFormat="1" ht="20" customHeight="1" spans="1:10">
      <c r="A127" s="44"/>
      <c r="B127" s="19" t="s">
        <v>1556</v>
      </c>
      <c r="C127" s="42" t="s">
        <v>1544</v>
      </c>
      <c r="D127" s="42" t="s">
        <v>39</v>
      </c>
      <c r="E127" s="42" t="s">
        <v>208</v>
      </c>
      <c r="F127" s="42">
        <v>28</v>
      </c>
      <c r="G127" s="42">
        <v>66.45</v>
      </c>
      <c r="H127" s="42" t="s">
        <v>16</v>
      </c>
      <c r="I127" s="172" t="str">
        <f>VLOOKUP(H127,Sheet4!A:B,2,)</f>
        <v>GLOSS BLACK</v>
      </c>
      <c r="J127" s="42">
        <f>4-4+4-4</f>
        <v>0</v>
      </c>
    </row>
    <row r="128" s="7" customFormat="1" ht="20" customHeight="1" spans="1:10">
      <c r="A128" s="44"/>
      <c r="B128" s="19" t="s">
        <v>1556</v>
      </c>
      <c r="C128" s="42" t="s">
        <v>1544</v>
      </c>
      <c r="D128" s="42" t="s">
        <v>31</v>
      </c>
      <c r="E128" s="42" t="s">
        <v>208</v>
      </c>
      <c r="F128" s="42">
        <v>28</v>
      </c>
      <c r="G128" s="42">
        <v>66.45</v>
      </c>
      <c r="H128" s="42" t="s">
        <v>16</v>
      </c>
      <c r="I128" s="172" t="str">
        <f>VLOOKUP(H128,Sheet4!A:B,2,)</f>
        <v>GLOSS BLACK</v>
      </c>
      <c r="J128" s="42">
        <f>4-4+4-4+4-4+8-4-4+8</f>
        <v>8</v>
      </c>
    </row>
    <row r="129" s="7" customFormat="1" ht="20" customHeight="1" spans="1:10">
      <c r="A129" s="46"/>
      <c r="B129" s="23" t="s">
        <v>1557</v>
      </c>
      <c r="C129" s="43" t="s">
        <v>1544</v>
      </c>
      <c r="D129" s="43" t="s">
        <v>31</v>
      </c>
      <c r="E129" s="43" t="s">
        <v>208</v>
      </c>
      <c r="F129" s="43">
        <v>28</v>
      </c>
      <c r="G129" s="43">
        <v>66.45</v>
      </c>
      <c r="H129" s="43" t="s">
        <v>1552</v>
      </c>
      <c r="I129" s="174" t="str">
        <f>VLOOKUP(H129,Sheet4!A:B,2,)</f>
        <v>gloss black+red inside</v>
      </c>
      <c r="J129" s="43">
        <f>4-4+4-4+4-4</f>
        <v>0</v>
      </c>
    </row>
    <row r="130" s="7" customFormat="1" ht="63" customHeight="1" spans="1:10">
      <c r="A130" s="18"/>
      <c r="B130" s="19" t="s">
        <v>1558</v>
      </c>
      <c r="C130" s="42" t="s">
        <v>1559</v>
      </c>
      <c r="D130" s="42" t="s">
        <v>29</v>
      </c>
      <c r="E130" s="42" t="s">
        <v>208</v>
      </c>
      <c r="F130" s="42">
        <v>30</v>
      </c>
      <c r="G130" s="42">
        <v>66.45</v>
      </c>
      <c r="H130" s="42" t="s">
        <v>69</v>
      </c>
      <c r="I130" s="172" t="str">
        <f>VLOOKUP(H130,Sheet4!A:B,2,)</f>
        <v>GREY</v>
      </c>
      <c r="J130" s="42">
        <f>4-4</f>
        <v>0</v>
      </c>
    </row>
    <row r="131" s="7" customFormat="1" ht="63" customHeight="1" spans="1:10">
      <c r="A131" s="22"/>
      <c r="B131" s="23" t="s">
        <v>1560</v>
      </c>
      <c r="C131" s="43" t="s">
        <v>1559</v>
      </c>
      <c r="D131" s="43" t="s">
        <v>29</v>
      </c>
      <c r="E131" s="43" t="s">
        <v>208</v>
      </c>
      <c r="F131" s="43">
        <v>30</v>
      </c>
      <c r="G131" s="43">
        <v>66.45</v>
      </c>
      <c r="H131" s="43" t="s">
        <v>21</v>
      </c>
      <c r="I131" s="174" t="str">
        <f>VLOOKUP(H131,Sheet4!A:B,2,)</f>
        <v>Black Machine Face</v>
      </c>
      <c r="J131" s="43">
        <v>0</v>
      </c>
    </row>
    <row r="132" s="7" customFormat="1" ht="81.95" customHeight="1" spans="1:10">
      <c r="A132" s="78"/>
      <c r="B132" s="128"/>
      <c r="C132" s="92"/>
      <c r="D132" s="92"/>
      <c r="E132" s="92"/>
      <c r="F132" s="92"/>
      <c r="G132" s="92"/>
      <c r="H132" s="92"/>
      <c r="I132" s="194"/>
      <c r="J132" s="92"/>
    </row>
    <row r="133" s="7" customFormat="1" ht="81.95" customHeight="1" spans="1:10">
      <c r="A133" s="78"/>
      <c r="B133" s="128"/>
      <c r="C133" s="92"/>
      <c r="D133" s="92"/>
      <c r="E133" s="92"/>
      <c r="F133" s="92"/>
      <c r="G133" s="92"/>
      <c r="H133" s="92"/>
      <c r="I133" s="194"/>
      <c r="J133" s="92"/>
    </row>
    <row r="134" s="7" customFormat="1" ht="81.95" customHeight="1" spans="1:10">
      <c r="A134" s="195"/>
      <c r="B134" s="128"/>
      <c r="C134" s="92"/>
      <c r="D134" s="92"/>
      <c r="E134" s="92"/>
      <c r="F134" s="92"/>
      <c r="G134" s="92"/>
      <c r="H134" s="92"/>
      <c r="I134" s="194"/>
      <c r="J134" s="92"/>
    </row>
    <row r="135" s="7" customFormat="1" ht="81.95" customHeight="1" spans="1:10">
      <c r="A135" s="78"/>
      <c r="B135" s="128"/>
      <c r="C135" s="92"/>
      <c r="D135" s="92"/>
      <c r="E135" s="92"/>
      <c r="F135" s="92"/>
      <c r="G135" s="92"/>
      <c r="H135" s="92"/>
      <c r="I135" s="194"/>
      <c r="J135" s="92"/>
    </row>
    <row r="136" s="7" customFormat="1" ht="81.95" customHeight="1" spans="1:10">
      <c r="A136" s="78"/>
      <c r="B136" s="128"/>
      <c r="C136" s="92"/>
      <c r="D136" s="92"/>
      <c r="E136" s="92"/>
      <c r="F136" s="92"/>
      <c r="G136" s="92"/>
      <c r="H136" s="92"/>
      <c r="I136" s="194"/>
      <c r="J136" s="92"/>
    </row>
    <row r="137" s="7" customFormat="1" ht="81.95" customHeight="1" spans="1:10">
      <c r="A137" s="78"/>
      <c r="B137" s="128"/>
      <c r="C137" s="92"/>
      <c r="D137" s="92"/>
      <c r="E137" s="92"/>
      <c r="F137" s="92"/>
      <c r="G137" s="92"/>
      <c r="H137" s="92"/>
      <c r="I137" s="194"/>
      <c r="J137" s="92"/>
    </row>
    <row r="138" s="7" customFormat="1" ht="81.95" customHeight="1" spans="1:10">
      <c r="A138" s="78"/>
      <c r="B138" s="128"/>
      <c r="C138" s="92"/>
      <c r="D138" s="92"/>
      <c r="E138" s="92"/>
      <c r="F138" s="92"/>
      <c r="G138" s="92"/>
      <c r="H138" s="92"/>
      <c r="I138" s="194"/>
      <c r="J138" s="92"/>
    </row>
    <row r="139" s="7" customFormat="1" ht="81.95" customHeight="1" spans="1:10">
      <c r="A139" s="78"/>
      <c r="B139" s="128"/>
      <c r="C139" s="92"/>
      <c r="D139" s="92"/>
      <c r="E139" s="92"/>
      <c r="F139" s="92"/>
      <c r="G139" s="92"/>
      <c r="H139" s="92"/>
      <c r="I139" s="194"/>
      <c r="J139" s="92"/>
    </row>
    <row r="140" s="7" customFormat="1" ht="81.95" customHeight="1" spans="1:10">
      <c r="A140" s="78"/>
      <c r="B140" s="128"/>
      <c r="C140" s="92"/>
      <c r="D140" s="92"/>
      <c r="E140" s="92"/>
      <c r="F140" s="92"/>
      <c r="G140" s="92"/>
      <c r="H140" s="92"/>
      <c r="I140" s="194"/>
      <c r="J140" s="92"/>
    </row>
    <row r="141" spans="1:10">
      <c r="A141" s="78"/>
    </row>
    <row r="142" spans="1:10">
      <c r="A142" s="78"/>
    </row>
    <row r="143" spans="1:10">
      <c r="A143" s="78"/>
    </row>
    <row r="144" spans="1:10">
      <c r="A144" s="78"/>
    </row>
    <row r="145" spans="1:10">
      <c r="A145" s="78"/>
    </row>
    <row r="146" spans="1:10">
      <c r="A146" s="78"/>
    </row>
    <row r="147" spans="1:10">
      <c r="A147" s="78"/>
    </row>
    <row r="148" spans="1:10">
      <c r="A148" s="78"/>
    </row>
    <row r="149" spans="1:10">
      <c r="A149" s="78"/>
    </row>
    <row r="150" spans="1:10">
      <c r="A150" s="78"/>
    </row>
    <row r="151" spans="1:10">
      <c r="A151" s="78"/>
    </row>
    <row r="152" spans="1:10">
      <c r="A152" s="79"/>
      <c r="B152" s="60"/>
      <c r="C152" s="80"/>
      <c r="D152" s="80"/>
      <c r="E152" s="80"/>
      <c r="F152" s="80"/>
      <c r="G152" s="80"/>
      <c r="H152" s="80"/>
      <c r="I152" s="196"/>
      <c r="J152" s="80"/>
    </row>
  </sheetData>
  <autoFilter xmlns:etc="http://www.wps.cn/officeDocument/2017/etCustomData" ref="A2:J131" etc:filterBottomFollowUsedRange="0">
    <extLst/>
  </autoFilter>
  <mergeCells count="5">
    <mergeCell ref="A17:A19"/>
    <mergeCell ref="A30:A31"/>
    <mergeCell ref="A135:A136"/>
    <mergeCell ref="A137:A138"/>
    <mergeCell ref="A139:A140"/>
  </mergeCells>
  <pageMargins left="0.15625" right="0.0388888888888889" top="0.313888888888889" bottom="0.354166666666667" header="0.5" footer="0.118055555555556"/>
  <pageSetup paperSize="9" scale="77" orientation="portrait" horizontalDpi="600"/>
  <headerFooter>
    <oddFooter>&amp;C&amp;14&amp;B奥迪 第 &amp;P 页，共 &amp;N 页</oddFooter>
  </headerFooter>
  <rowBreaks count="3" manualBreakCount="3">
    <brk id="20" max="9" man="1"/>
    <brk id="131" max="16383" man="1"/>
    <brk id="131" max="16383" man="1"/>
  </rowBreaks>
  <ignoredErrors>
    <ignoredError sqref="J66 J102" formula="1"/>
  </ignoredErrors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indexed="51"/>
  </sheetPr>
  <dimension ref="A1:J284"/>
  <sheetViews>
    <sheetView workbookViewId="0">
      <pane xSplit="1" ySplit="2" topLeftCell="B158" activePane="bottomRight" state="frozen"/>
      <selection/>
      <selection pane="topRight"/>
      <selection pane="bottomLeft"/>
      <selection pane="bottomRight" activeCell="H167" sqref="H167"/>
    </sheetView>
  </sheetViews>
  <sheetFormatPr defaultColWidth="9" defaultRowHeight="13.5"/>
  <cols>
    <col min="1" max="1" width="23.5" style="6" customWidth="1"/>
    <col min="2" max="2" width="21.0833333333333" style="90" customWidth="1"/>
    <col min="3" max="3" width="15.6416666666667" style="89" customWidth="1"/>
    <col min="4" max="4" width="13.875" style="89" customWidth="1"/>
    <col min="5" max="5" width="12.875" style="89" customWidth="1"/>
    <col min="6" max="6" width="8.03333333333333" style="89" customWidth="1"/>
    <col min="7" max="7" width="13.25" style="89" customWidth="1"/>
    <col min="8" max="8" width="13.5833333333333" style="89" customWidth="1"/>
    <col min="9" max="9" width="22.625" style="89" customWidth="1"/>
    <col min="10" max="10" width="13.8" style="7" customWidth="1"/>
    <col min="11" max="16384" width="9" style="6"/>
  </cols>
  <sheetData>
    <row r="1" s="6" customFormat="1" ht="95" customHeight="1" spans="1:10">
      <c r="B1" s="90"/>
      <c r="C1" s="89"/>
      <c r="D1" s="89"/>
      <c r="E1" s="89"/>
      <c r="F1" s="89"/>
      <c r="G1" s="89"/>
      <c r="H1" s="89"/>
      <c r="I1" s="89"/>
      <c r="J1" s="7"/>
    </row>
    <row r="2" s="5" customFormat="1" ht="26" customHeight="1" spans="1:10">
      <c r="A2" s="93" t="s">
        <v>0</v>
      </c>
      <c r="B2" s="94" t="s">
        <v>1</v>
      </c>
      <c r="C2" s="94" t="s">
        <v>2</v>
      </c>
      <c r="D2" s="94" t="s">
        <v>3</v>
      </c>
      <c r="E2" s="94" t="s">
        <v>4</v>
      </c>
      <c r="F2" s="94" t="s">
        <v>5</v>
      </c>
      <c r="G2" s="94" t="s">
        <v>6</v>
      </c>
      <c r="H2" s="94" t="s">
        <v>7</v>
      </c>
      <c r="I2" s="94" t="s">
        <v>8</v>
      </c>
      <c r="J2" s="93" t="s">
        <v>9</v>
      </c>
    </row>
    <row r="3" s="6" customFormat="1" ht="19" customHeight="1" spans="1:10">
      <c r="A3" s="56"/>
      <c r="B3" s="53" t="s">
        <v>1561</v>
      </c>
      <c r="C3" s="54">
        <v>718</v>
      </c>
      <c r="D3" s="54" t="s">
        <v>23</v>
      </c>
      <c r="E3" s="54" t="s">
        <v>218</v>
      </c>
      <c r="F3" s="54">
        <v>45</v>
      </c>
      <c r="G3" s="54">
        <v>71.56</v>
      </c>
      <c r="H3" s="54" t="s">
        <v>1122</v>
      </c>
      <c r="I3" s="87" t="str">
        <f>VLOOKUP(H3,Sheet4!A:B,2,)</f>
        <v>Gloss Black LIP </v>
      </c>
      <c r="J3" s="97">
        <f>2-2+4-2-2+2-2+2-2+2-2+4-2-2</f>
        <v>0</v>
      </c>
    </row>
    <row r="4" s="6" customFormat="1" ht="19" customHeight="1" spans="1:10">
      <c r="A4" s="18"/>
      <c r="B4" s="19" t="s">
        <v>1562</v>
      </c>
      <c r="C4" s="20">
        <v>718</v>
      </c>
      <c r="D4" s="20" t="s">
        <v>482</v>
      </c>
      <c r="E4" s="20" t="s">
        <v>218</v>
      </c>
      <c r="F4" s="20">
        <v>45</v>
      </c>
      <c r="G4" s="20">
        <v>71.56</v>
      </c>
      <c r="H4" s="20" t="s">
        <v>1122</v>
      </c>
      <c r="I4" s="66" t="str">
        <f>VLOOKUP(H4,Sheet4!A:B,2,)</f>
        <v>Gloss Black LIP </v>
      </c>
      <c r="J4" s="21">
        <f>2-2+2-2+4-2-2+2-2+2-2+2-2+4-2-2</f>
        <v>0</v>
      </c>
    </row>
    <row r="5" s="6" customFormat="1" ht="19" customHeight="1" spans="1:10">
      <c r="A5" s="18"/>
      <c r="B5" s="19" t="s">
        <v>1563</v>
      </c>
      <c r="C5" s="20" t="s">
        <v>1564</v>
      </c>
      <c r="D5" s="20" t="s">
        <v>19</v>
      </c>
      <c r="E5" s="20" t="s">
        <v>208</v>
      </c>
      <c r="F5" s="20">
        <v>26</v>
      </c>
      <c r="G5" s="20">
        <v>66.45</v>
      </c>
      <c r="H5" s="20" t="s">
        <v>1122</v>
      </c>
      <c r="I5" s="66" t="str">
        <f>VLOOKUP(H5,Sheet4!A:B,2,)</f>
        <v>Gloss Black LIP </v>
      </c>
      <c r="J5" s="42">
        <f>4-2-2+2-2+2-2+4</f>
        <v>4</v>
      </c>
    </row>
    <row r="6" s="6" customFormat="1" ht="19" customHeight="1" spans="1:10">
      <c r="A6" s="18"/>
      <c r="B6" s="19" t="s">
        <v>1563</v>
      </c>
      <c r="C6" s="20" t="s">
        <v>1564</v>
      </c>
      <c r="D6" s="20" t="s">
        <v>878</v>
      </c>
      <c r="E6" s="20" t="s">
        <v>208</v>
      </c>
      <c r="F6" s="20">
        <v>19</v>
      </c>
      <c r="G6" s="20">
        <v>66.45</v>
      </c>
      <c r="H6" s="20" t="s">
        <v>1122</v>
      </c>
      <c r="I6" s="66" t="str">
        <f>VLOOKUP(H6,Sheet4!A:B,2,)</f>
        <v>Gloss Black LIP </v>
      </c>
      <c r="J6" s="42">
        <f>4-2-2+2-2+2-2+4</f>
        <v>4</v>
      </c>
    </row>
    <row r="7" s="6" customFormat="1" ht="19" customHeight="1" spans="1:10">
      <c r="A7" s="18"/>
      <c r="B7" s="19" t="s">
        <v>1565</v>
      </c>
      <c r="C7" s="20" t="s">
        <v>1564</v>
      </c>
      <c r="D7" s="20" t="s">
        <v>31</v>
      </c>
      <c r="E7" s="20" t="s">
        <v>208</v>
      </c>
      <c r="F7" s="20">
        <v>26</v>
      </c>
      <c r="G7" s="20">
        <v>66.45</v>
      </c>
      <c r="H7" s="20" t="s">
        <v>1122</v>
      </c>
      <c r="I7" s="66" t="str">
        <f>VLOOKUP(H7,Sheet4!A:B,2,)</f>
        <v>Gloss Black LIP </v>
      </c>
      <c r="J7" s="42">
        <f>4-2-2+4-2</f>
        <v>2</v>
      </c>
    </row>
    <row r="8" s="6" customFormat="1" ht="19" customHeight="1" spans="1:10">
      <c r="A8" s="18"/>
      <c r="B8" s="19" t="s">
        <v>1565</v>
      </c>
      <c r="C8" s="20" t="s">
        <v>1564</v>
      </c>
      <c r="D8" s="20" t="s">
        <v>556</v>
      </c>
      <c r="E8" s="20" t="s">
        <v>208</v>
      </c>
      <c r="F8" s="20">
        <v>19</v>
      </c>
      <c r="G8" s="20">
        <v>66.45</v>
      </c>
      <c r="H8" s="20" t="s">
        <v>1122</v>
      </c>
      <c r="I8" s="66" t="str">
        <f>VLOOKUP(H8,Sheet4!A:B,2,)</f>
        <v>Gloss Black LIP </v>
      </c>
      <c r="J8" s="42">
        <f>4-2-2+4-2</f>
        <v>2</v>
      </c>
    </row>
    <row r="9" s="6" customFormat="1" ht="19" customHeight="1" spans="1:10">
      <c r="A9" s="18"/>
      <c r="B9" s="19" t="s">
        <v>1566</v>
      </c>
      <c r="C9" s="20" t="s">
        <v>1567</v>
      </c>
      <c r="D9" s="19" t="s">
        <v>482</v>
      </c>
      <c r="E9" s="19" t="s">
        <v>218</v>
      </c>
      <c r="F9" s="19">
        <v>55</v>
      </c>
      <c r="G9" s="19">
        <v>71.56</v>
      </c>
      <c r="H9" s="20" t="s">
        <v>1122</v>
      </c>
      <c r="I9" s="66" t="str">
        <f>VLOOKUP(H9,Sheet4!A:B,2,)</f>
        <v>Gloss Black LIP </v>
      </c>
      <c r="J9" s="21">
        <f>2</f>
        <v>2</v>
      </c>
    </row>
    <row r="10" s="6" customFormat="1" ht="19" customHeight="1" spans="1:10">
      <c r="A10" s="18"/>
      <c r="B10" s="19" t="s">
        <v>1566</v>
      </c>
      <c r="C10" s="20" t="s">
        <v>1567</v>
      </c>
      <c r="D10" s="19" t="s">
        <v>1568</v>
      </c>
      <c r="E10" s="19" t="s">
        <v>218</v>
      </c>
      <c r="F10" s="19">
        <v>58</v>
      </c>
      <c r="G10" s="19">
        <v>71.56</v>
      </c>
      <c r="H10" s="20" t="s">
        <v>1122</v>
      </c>
      <c r="I10" s="66" t="str">
        <f>VLOOKUP(H10,Sheet4!A:B,2,)</f>
        <v>Gloss Black LIP </v>
      </c>
      <c r="J10" s="21">
        <f>2</f>
        <v>2</v>
      </c>
    </row>
    <row r="11" s="6" customFormat="1" ht="19" customHeight="1" spans="1:10">
      <c r="A11" s="18"/>
      <c r="B11" s="19" t="s">
        <v>1569</v>
      </c>
      <c r="C11" s="20" t="s">
        <v>1567</v>
      </c>
      <c r="D11" s="20" t="s">
        <v>225</v>
      </c>
      <c r="E11" s="20" t="s">
        <v>218</v>
      </c>
      <c r="F11" s="20" t="s">
        <v>1570</v>
      </c>
      <c r="G11" s="20">
        <v>71.56</v>
      </c>
      <c r="H11" s="20" t="s">
        <v>1122</v>
      </c>
      <c r="I11" s="66" t="str">
        <f>VLOOKUP(H11,Sheet4!A:B,2,)</f>
        <v>Gloss Black LIP </v>
      </c>
      <c r="J11" s="21">
        <f>4-2-2+2-2+4-1-2+4-2+4-2-2-2+2-1-2</f>
        <v>0</v>
      </c>
    </row>
    <row r="12" s="6" customFormat="1" ht="19" customHeight="1" spans="1:10">
      <c r="A12" s="18"/>
      <c r="B12" s="19" t="s">
        <v>1569</v>
      </c>
      <c r="C12" s="20" t="s">
        <v>1567</v>
      </c>
      <c r="D12" s="20" t="s">
        <v>994</v>
      </c>
      <c r="E12" s="20" t="s">
        <v>218</v>
      </c>
      <c r="F12" s="20">
        <v>65</v>
      </c>
      <c r="G12" s="20">
        <v>71.56</v>
      </c>
      <c r="H12" s="20" t="s">
        <v>1122</v>
      </c>
      <c r="I12" s="66" t="str">
        <f>VLOOKUP(H12,Sheet4!A:B,2,)</f>
        <v>Gloss Black LIP </v>
      </c>
      <c r="J12" s="21">
        <f>4-2-2+4-1-2+4-2+4-2-2-2+2-2-1</f>
        <v>0</v>
      </c>
    </row>
    <row r="13" s="6" customFormat="1" ht="19" customHeight="1" spans="1:10">
      <c r="A13" s="18"/>
      <c r="B13" s="19" t="s">
        <v>1571</v>
      </c>
      <c r="C13" s="20" t="s">
        <v>1567</v>
      </c>
      <c r="D13" s="20" t="s">
        <v>39</v>
      </c>
      <c r="E13" s="20" t="s">
        <v>218</v>
      </c>
      <c r="F13" s="20">
        <v>68</v>
      </c>
      <c r="G13" s="20">
        <v>71.56</v>
      </c>
      <c r="H13" s="20" t="s">
        <v>1122</v>
      </c>
      <c r="I13" s="66" t="str">
        <f>VLOOKUP(H13,Sheet4!A:B,2,)</f>
        <v>Gloss Black LIP </v>
      </c>
      <c r="J13" s="42">
        <f>2-2+2-2+4+2-2-2+6-2-2-2-2+4-2-2+4-2-2+10-2-2-2-2-2+2-2+4+2-1-2-2+1+6-2-2+2-2</f>
        <v>4</v>
      </c>
    </row>
    <row r="14" s="6" customFormat="1" ht="19" customHeight="1" spans="1:10">
      <c r="A14" s="22"/>
      <c r="B14" s="23" t="s">
        <v>1571</v>
      </c>
      <c r="C14" s="24" t="s">
        <v>1567</v>
      </c>
      <c r="D14" s="24" t="s">
        <v>1024</v>
      </c>
      <c r="E14" s="24" t="s">
        <v>218</v>
      </c>
      <c r="F14" s="24">
        <v>65</v>
      </c>
      <c r="G14" s="24">
        <v>71.56</v>
      </c>
      <c r="H14" s="24" t="s">
        <v>1122</v>
      </c>
      <c r="I14" s="69" t="str">
        <f>VLOOKUP(H14,Sheet4!A:B,2,)</f>
        <v>Gloss Black LIP </v>
      </c>
      <c r="J14" s="25">
        <f>2-2+2-2+4+2-2-2+6-2-2-2-2+4-2-2+4-2-2+10-2-2-2-2-2+2-2+4+2-2-2+6-2-2+2-2</f>
        <v>4</v>
      </c>
    </row>
    <row r="15" s="6" customFormat="1" ht="20" customHeight="1" spans="1:10">
      <c r="A15" s="44"/>
      <c r="B15" s="99" t="s">
        <v>1572</v>
      </c>
      <c r="C15" s="65">
        <v>718</v>
      </c>
      <c r="D15" s="148" t="s">
        <v>29</v>
      </c>
      <c r="E15" s="148" t="s">
        <v>218</v>
      </c>
      <c r="F15" s="148">
        <v>45</v>
      </c>
      <c r="G15" s="148">
        <v>71.56</v>
      </c>
      <c r="H15" s="20" t="s">
        <v>87</v>
      </c>
      <c r="I15" s="66" t="str">
        <f>VLOOKUP(H15,Sheet4!A:B,2,)</f>
        <v>Gunmetal Machine Face</v>
      </c>
      <c r="J15" s="21">
        <f>1+2+4-2-2-2+2-2+2-2+2-2+6-2-2-2+2+2-2</f>
        <v>3</v>
      </c>
    </row>
    <row r="16" s="6" customFormat="1" ht="20" customHeight="1" spans="1:10">
      <c r="A16" s="44"/>
      <c r="B16" s="99" t="s">
        <v>1572</v>
      </c>
      <c r="C16" s="65">
        <v>718</v>
      </c>
      <c r="D16" s="148" t="s">
        <v>225</v>
      </c>
      <c r="E16" s="148" t="s">
        <v>218</v>
      </c>
      <c r="F16" s="148">
        <v>45</v>
      </c>
      <c r="G16" s="148">
        <v>71.56</v>
      </c>
      <c r="H16" s="20" t="s">
        <v>87</v>
      </c>
      <c r="I16" s="66" t="str">
        <f>VLOOKUP(H16,Sheet4!A:B,2,)</f>
        <v>Gunmetal Machine Face</v>
      </c>
      <c r="J16" s="21">
        <f>2+4-2-2-2+2-2+2-2+2-2+2-2+6-2-2-2+2+2-2</f>
        <v>2</v>
      </c>
    </row>
    <row r="17" s="6" customFormat="1" ht="20" customHeight="1" spans="1:10">
      <c r="A17" s="82"/>
      <c r="B17" s="99" t="s">
        <v>1573</v>
      </c>
      <c r="C17" s="65" t="s">
        <v>1574</v>
      </c>
      <c r="D17" s="148" t="s">
        <v>23</v>
      </c>
      <c r="E17" s="148" t="s">
        <v>218</v>
      </c>
      <c r="F17" s="148">
        <v>45</v>
      </c>
      <c r="G17" s="148">
        <v>71.56</v>
      </c>
      <c r="H17" s="20" t="s">
        <v>87</v>
      </c>
      <c r="I17" s="66" t="str">
        <f>VLOOKUP(H17,Sheet4!A:B,2,)</f>
        <v>Gunmetal Machine Face</v>
      </c>
      <c r="J17" s="21">
        <f>4-4+8-1-4+1-4+8-4-4+4-4+8-4-4+12-4</f>
        <v>8</v>
      </c>
    </row>
    <row r="18" s="6" customFormat="1" ht="20" customHeight="1" spans="1:10">
      <c r="A18" s="44"/>
      <c r="B18" s="99" t="s">
        <v>1575</v>
      </c>
      <c r="C18" s="65" t="s">
        <v>1574</v>
      </c>
      <c r="D18" s="148" t="s">
        <v>225</v>
      </c>
      <c r="E18" s="148" t="s">
        <v>218</v>
      </c>
      <c r="F18" s="148">
        <v>50</v>
      </c>
      <c r="G18" s="148">
        <v>71.56</v>
      </c>
      <c r="H18" s="20" t="s">
        <v>87</v>
      </c>
      <c r="I18" s="66" t="str">
        <f>VLOOKUP(H18,Sheet4!A:B,2,)</f>
        <v>Gunmetal Machine Face</v>
      </c>
      <c r="J18" s="21">
        <f>4-4+4-4+4-4+4-4+4-4+4-4+8-4-4</f>
        <v>0</v>
      </c>
    </row>
    <row r="19" s="6" customFormat="1" ht="20" customHeight="1" spans="1:10">
      <c r="A19" s="44"/>
      <c r="B19" s="99" t="s">
        <v>1576</v>
      </c>
      <c r="C19" s="65" t="s">
        <v>1574</v>
      </c>
      <c r="D19" s="148" t="s">
        <v>556</v>
      </c>
      <c r="E19" s="148" t="s">
        <v>218</v>
      </c>
      <c r="F19" s="148">
        <v>50</v>
      </c>
      <c r="G19" s="148">
        <v>71.56</v>
      </c>
      <c r="H19" s="20" t="s">
        <v>87</v>
      </c>
      <c r="I19" s="66" t="str">
        <f>VLOOKUP(H19,Sheet4!A:B,2,)</f>
        <v>Gunmetal Machine Face</v>
      </c>
      <c r="J19" s="21">
        <f>8-4-4</f>
        <v>0</v>
      </c>
    </row>
    <row r="20" s="6" customFormat="1" ht="20" customHeight="1" spans="1:10">
      <c r="A20" s="44"/>
      <c r="B20" s="99" t="s">
        <v>1577</v>
      </c>
      <c r="C20" s="65" t="s">
        <v>1578</v>
      </c>
      <c r="D20" s="148" t="s">
        <v>39</v>
      </c>
      <c r="E20" s="148" t="s">
        <v>218</v>
      </c>
      <c r="F20" s="148">
        <v>46</v>
      </c>
      <c r="G20" s="148">
        <v>71.56</v>
      </c>
      <c r="H20" s="20" t="s">
        <v>87</v>
      </c>
      <c r="I20" s="66" t="str">
        <f>VLOOKUP(H20,Sheet4!A:B,2,)</f>
        <v>Gunmetal Machine Face</v>
      </c>
      <c r="J20" s="42">
        <f>2-2+4-2-2+2-2+2-2+4-4+6-2</f>
        <v>4</v>
      </c>
    </row>
    <row r="21" s="6" customFormat="1" ht="20" customHeight="1" spans="1:10">
      <c r="A21" s="44"/>
      <c r="B21" s="99" t="s">
        <v>1577</v>
      </c>
      <c r="C21" s="65" t="s">
        <v>1578</v>
      </c>
      <c r="D21" s="148" t="s">
        <v>1024</v>
      </c>
      <c r="E21" s="148" t="s">
        <v>218</v>
      </c>
      <c r="F21" s="148">
        <v>58</v>
      </c>
      <c r="G21" s="148">
        <v>71.56</v>
      </c>
      <c r="H21" s="20" t="s">
        <v>87</v>
      </c>
      <c r="I21" s="66" t="str">
        <f>VLOOKUP(H21,Sheet4!A:B,2,)</f>
        <v>Gunmetal Machine Face</v>
      </c>
      <c r="J21" s="42">
        <f>2-2+4-2-2+2-2+2-2+4+2-2</f>
        <v>4</v>
      </c>
    </row>
    <row r="22" s="6" customFormat="1" ht="20" customHeight="1" spans="1:10">
      <c r="A22" s="44"/>
      <c r="B22" s="99" t="s">
        <v>1579</v>
      </c>
      <c r="C22" s="65" t="s">
        <v>1578</v>
      </c>
      <c r="D22" s="148" t="s">
        <v>343</v>
      </c>
      <c r="E22" s="148" t="s">
        <v>218</v>
      </c>
      <c r="F22" s="148">
        <v>48</v>
      </c>
      <c r="G22" s="148">
        <v>71.56</v>
      </c>
      <c r="H22" s="20" t="s">
        <v>87</v>
      </c>
      <c r="I22" s="66" t="str">
        <f>VLOOKUP(H22,Sheet4!A:B,2,)</f>
        <v>Gunmetal Machine Face</v>
      </c>
      <c r="J22" s="42">
        <f>2+4-2-2-2+4-1-2+1-2</f>
        <v>0</v>
      </c>
    </row>
    <row r="23" s="6" customFormat="1" ht="20" customHeight="1" spans="1:10">
      <c r="A23" s="44"/>
      <c r="B23" s="99" t="s">
        <v>1579</v>
      </c>
      <c r="C23" s="65" t="s">
        <v>1578</v>
      </c>
      <c r="D23" s="148" t="s">
        <v>1292</v>
      </c>
      <c r="E23" s="148" t="s">
        <v>218</v>
      </c>
      <c r="F23" s="148">
        <v>58</v>
      </c>
      <c r="G23" s="148">
        <v>71.56</v>
      </c>
      <c r="H23" s="20" t="s">
        <v>87</v>
      </c>
      <c r="I23" s="66" t="str">
        <f>VLOOKUP(H23,Sheet4!A:B,2,)</f>
        <v>Gunmetal Machine Face</v>
      </c>
      <c r="J23" s="42">
        <f>2+4-2-2-2+4-2-2</f>
        <v>0</v>
      </c>
    </row>
    <row r="24" s="6" customFormat="1" ht="20" customHeight="1" spans="1:10">
      <c r="A24" s="44"/>
      <c r="B24" s="99" t="s">
        <v>1580</v>
      </c>
      <c r="C24" s="65" t="s">
        <v>1581</v>
      </c>
      <c r="D24" s="148" t="s">
        <v>19</v>
      </c>
      <c r="E24" s="148" t="s">
        <v>208</v>
      </c>
      <c r="F24" s="148">
        <v>26</v>
      </c>
      <c r="G24" s="148">
        <v>66.45</v>
      </c>
      <c r="H24" s="20" t="s">
        <v>87</v>
      </c>
      <c r="I24" s="66" t="str">
        <f>VLOOKUP(H24,Sheet4!A:B,2,)</f>
        <v>Gunmetal Machine Face</v>
      </c>
      <c r="J24" s="42">
        <f>2-2+2-2+2-2+2-2+2</f>
        <v>2</v>
      </c>
    </row>
    <row r="25" s="6" customFormat="1" ht="20" customHeight="1" spans="1:10">
      <c r="A25" s="44"/>
      <c r="B25" s="99" t="s">
        <v>1580</v>
      </c>
      <c r="C25" s="65" t="s">
        <v>1581</v>
      </c>
      <c r="D25" s="148" t="s">
        <v>878</v>
      </c>
      <c r="E25" s="148" t="s">
        <v>208</v>
      </c>
      <c r="F25" s="148">
        <v>19</v>
      </c>
      <c r="G25" s="148">
        <v>66.45</v>
      </c>
      <c r="H25" s="20" t="s">
        <v>87</v>
      </c>
      <c r="I25" s="66" t="str">
        <f>VLOOKUP(H25,Sheet4!A:B,2,)</f>
        <v>Gunmetal Machine Face</v>
      </c>
      <c r="J25" s="42">
        <f>2-2+2-2+2-2+2-2+2</f>
        <v>2</v>
      </c>
    </row>
    <row r="26" s="6" customFormat="1" ht="20" customHeight="1" spans="1:10">
      <c r="A26" s="44"/>
      <c r="B26" s="99" t="s">
        <v>1582</v>
      </c>
      <c r="C26" s="65" t="s">
        <v>1581</v>
      </c>
      <c r="D26" s="148" t="s">
        <v>31</v>
      </c>
      <c r="E26" s="148" t="s">
        <v>208</v>
      </c>
      <c r="F26" s="148">
        <v>26</v>
      </c>
      <c r="G26" s="148">
        <v>66.45</v>
      </c>
      <c r="H26" s="20" t="s">
        <v>87</v>
      </c>
      <c r="I26" s="66" t="str">
        <f>VLOOKUP(H26,Sheet4!A:B,2,)</f>
        <v>Gunmetal Machine Face</v>
      </c>
      <c r="J26" s="42">
        <f>2-2+2-1+1-1+1-2+2-2+2-2+4-2-2+2</f>
        <v>2</v>
      </c>
    </row>
    <row r="27" s="6" customFormat="1" ht="20" customHeight="1" spans="1:10">
      <c r="A27" s="44"/>
      <c r="B27" s="99" t="s">
        <v>1582</v>
      </c>
      <c r="C27" s="65" t="s">
        <v>1581</v>
      </c>
      <c r="D27" s="148" t="s">
        <v>556</v>
      </c>
      <c r="E27" s="148" t="s">
        <v>208</v>
      </c>
      <c r="F27" s="148">
        <v>19</v>
      </c>
      <c r="G27" s="148">
        <v>66.45</v>
      </c>
      <c r="H27" s="20" t="s">
        <v>87</v>
      </c>
      <c r="I27" s="66" t="str">
        <f>VLOOKUP(H27,Sheet4!A:B,2,)</f>
        <v>Gunmetal Machine Face</v>
      </c>
      <c r="J27" s="42">
        <f>2-2+2-2+2-2+2-2+4-2-2+2</f>
        <v>2</v>
      </c>
    </row>
    <row r="28" s="6" customFormat="1" ht="20" customHeight="1" spans="1:10">
      <c r="A28" s="44"/>
      <c r="B28" s="99" t="s">
        <v>1583</v>
      </c>
      <c r="C28" s="65" t="s">
        <v>1584</v>
      </c>
      <c r="D28" s="20" t="s">
        <v>994</v>
      </c>
      <c r="E28" s="20" t="s">
        <v>218</v>
      </c>
      <c r="F28" s="20">
        <v>65</v>
      </c>
      <c r="G28" s="20">
        <v>71.56</v>
      </c>
      <c r="H28" s="20" t="s">
        <v>826</v>
      </c>
      <c r="I28" s="66" t="str">
        <f>VLOOKUP(H28,Sheet4!A:B,2,)</f>
        <v>Gunmetal Machine Face</v>
      </c>
      <c r="J28" s="42">
        <v>1</v>
      </c>
    </row>
    <row r="29" s="6" customFormat="1" ht="20" customHeight="1" spans="1:10">
      <c r="A29" s="18"/>
      <c r="B29" s="99" t="s">
        <v>1585</v>
      </c>
      <c r="C29" s="65" t="s">
        <v>1586</v>
      </c>
      <c r="D29" s="148" t="s">
        <v>1024</v>
      </c>
      <c r="E29" s="148" t="s">
        <v>218</v>
      </c>
      <c r="F29" s="148">
        <v>60</v>
      </c>
      <c r="G29" s="148">
        <v>71.56</v>
      </c>
      <c r="H29" s="20" t="s">
        <v>87</v>
      </c>
      <c r="I29" s="66" t="str">
        <f>VLOOKUP(H29,Sheet4!A:B,2,)</f>
        <v>Gunmetal Machine Face</v>
      </c>
      <c r="J29" s="42">
        <v>1</v>
      </c>
    </row>
    <row r="30" s="6" customFormat="1" ht="20" customHeight="1" spans="1:10">
      <c r="A30" s="82"/>
      <c r="B30" s="99" t="s">
        <v>1587</v>
      </c>
      <c r="C30" s="99" t="s">
        <v>1567</v>
      </c>
      <c r="D30" s="134" t="s">
        <v>482</v>
      </c>
      <c r="E30" s="134" t="s">
        <v>218</v>
      </c>
      <c r="F30" s="134">
        <v>45</v>
      </c>
      <c r="G30" s="134">
        <v>71.56</v>
      </c>
      <c r="H30" s="19" t="s">
        <v>87</v>
      </c>
      <c r="I30" s="110" t="str">
        <f>VLOOKUP(H30,Sheet4!A:B,2,)</f>
        <v>Gunmetal Machine Face</v>
      </c>
      <c r="J30" s="21">
        <f>2+2-2-2+4-4+8-8</f>
        <v>0</v>
      </c>
    </row>
    <row r="31" s="6" customFormat="1" ht="20" customHeight="1" spans="1:10">
      <c r="A31" s="82"/>
      <c r="B31" s="99" t="s">
        <v>1587</v>
      </c>
      <c r="C31" s="65" t="s">
        <v>1567</v>
      </c>
      <c r="D31" s="148" t="s">
        <v>1568</v>
      </c>
      <c r="E31" s="148" t="s">
        <v>218</v>
      </c>
      <c r="F31" s="148">
        <v>58</v>
      </c>
      <c r="G31" s="148">
        <v>71.56</v>
      </c>
      <c r="H31" s="20" t="s">
        <v>87</v>
      </c>
      <c r="I31" s="66" t="str">
        <f>VLOOKUP(H31,Sheet4!A:B,2,)</f>
        <v>Gunmetal Machine Face</v>
      </c>
      <c r="J31" s="21">
        <f>2+2-2-2</f>
        <v>0</v>
      </c>
    </row>
    <row r="32" s="6" customFormat="1" ht="20" customHeight="1" spans="1:10">
      <c r="A32" s="44"/>
      <c r="B32" s="99" t="s">
        <v>1588</v>
      </c>
      <c r="C32" s="65" t="s">
        <v>1567</v>
      </c>
      <c r="D32" s="148" t="s">
        <v>225</v>
      </c>
      <c r="E32" s="148" t="s">
        <v>218</v>
      </c>
      <c r="F32" s="148">
        <v>65</v>
      </c>
      <c r="G32" s="148">
        <v>71.56</v>
      </c>
      <c r="H32" s="20" t="s">
        <v>87</v>
      </c>
      <c r="I32" s="66" t="str">
        <f>VLOOKUP(H32,Sheet4!A:B,2,)</f>
        <v>Gunmetal Machine Face</v>
      </c>
      <c r="J32" s="42">
        <f t="shared" ref="J32:J35" si="0">4-2-2+4-2+2</f>
        <v>4</v>
      </c>
    </row>
    <row r="33" s="6" customFormat="1" ht="20" customHeight="1" spans="1:10">
      <c r="A33" s="44"/>
      <c r="B33" s="99" t="s">
        <v>1588</v>
      </c>
      <c r="C33" s="65" t="s">
        <v>1567</v>
      </c>
      <c r="D33" s="148" t="s">
        <v>994</v>
      </c>
      <c r="E33" s="148" t="s">
        <v>218</v>
      </c>
      <c r="F33" s="148">
        <v>61</v>
      </c>
      <c r="G33" s="148">
        <v>71.56</v>
      </c>
      <c r="H33" s="20" t="s">
        <v>87</v>
      </c>
      <c r="I33" s="66" t="str">
        <f>VLOOKUP(H33,Sheet4!A:B,2,)</f>
        <v>Gunmetal Machine Face</v>
      </c>
      <c r="J33" s="42">
        <f t="shared" si="0"/>
        <v>4</v>
      </c>
    </row>
    <row r="34" s="6" customFormat="1" ht="20" customHeight="1" spans="1:10">
      <c r="A34" s="44"/>
      <c r="B34" s="99" t="s">
        <v>1589</v>
      </c>
      <c r="C34" s="65" t="s">
        <v>1567</v>
      </c>
      <c r="D34" s="148" t="s">
        <v>39</v>
      </c>
      <c r="E34" s="148" t="s">
        <v>218</v>
      </c>
      <c r="F34" s="148">
        <v>68</v>
      </c>
      <c r="G34" s="148">
        <v>71.56</v>
      </c>
      <c r="H34" s="20" t="s">
        <v>87</v>
      </c>
      <c r="I34" s="66" t="str">
        <f>VLOOKUP(H34,Sheet4!A:B,2,)</f>
        <v>Gunmetal Machine Face</v>
      </c>
      <c r="J34" s="42">
        <f>6-2-2-2+2+4</f>
        <v>6</v>
      </c>
    </row>
    <row r="35" s="6" customFormat="1" ht="20" customHeight="1" spans="1:10">
      <c r="A35" s="112"/>
      <c r="B35" s="161" t="s">
        <v>1589</v>
      </c>
      <c r="C35" s="162" t="s">
        <v>1567</v>
      </c>
      <c r="D35" s="163" t="s">
        <v>1024</v>
      </c>
      <c r="E35" s="163" t="s">
        <v>218</v>
      </c>
      <c r="F35" s="163">
        <v>65</v>
      </c>
      <c r="G35" s="163">
        <v>71.56</v>
      </c>
      <c r="H35" s="50" t="s">
        <v>87</v>
      </c>
      <c r="I35" s="164" t="str">
        <f>VLOOKUP(H35,Sheet4!A:B,2,)</f>
        <v>Gunmetal Machine Face</v>
      </c>
      <c r="J35" s="51">
        <f>6-2-2-2+2+4</f>
        <v>6</v>
      </c>
    </row>
    <row r="36" s="6" customFormat="1" ht="19" customHeight="1" spans="1:10">
      <c r="A36" s="18"/>
      <c r="B36" s="99" t="s">
        <v>1590</v>
      </c>
      <c r="C36" s="65" t="s">
        <v>1578</v>
      </c>
      <c r="D36" s="148" t="s">
        <v>225</v>
      </c>
      <c r="E36" s="148" t="s">
        <v>218</v>
      </c>
      <c r="F36" s="148">
        <v>46</v>
      </c>
      <c r="G36" s="148">
        <v>71.56</v>
      </c>
      <c r="H36" s="20" t="s">
        <v>16</v>
      </c>
      <c r="I36" s="66" t="str">
        <f>VLOOKUP(H36,Sheet4!A:B,2,)</f>
        <v>GLOSS BLACK</v>
      </c>
      <c r="J36" s="42">
        <f>6+2-2-4-2</f>
        <v>0</v>
      </c>
    </row>
    <row r="37" s="6" customFormat="1" ht="19" customHeight="1" spans="1:10">
      <c r="A37" s="18"/>
      <c r="B37" s="99" t="s">
        <v>1591</v>
      </c>
      <c r="C37" s="65" t="s">
        <v>1578</v>
      </c>
      <c r="D37" s="148" t="s">
        <v>994</v>
      </c>
      <c r="E37" s="148" t="s">
        <v>218</v>
      </c>
      <c r="F37" s="148">
        <v>58</v>
      </c>
      <c r="G37" s="148">
        <v>71.56</v>
      </c>
      <c r="H37" s="20" t="s">
        <v>16</v>
      </c>
      <c r="I37" s="66" t="str">
        <f>VLOOKUP(H37,Sheet4!A:B,2,)</f>
        <v>GLOSS BLACK</v>
      </c>
      <c r="J37" s="42">
        <f>2+2-2-2</f>
        <v>0</v>
      </c>
    </row>
    <row r="38" s="6" customFormat="1" ht="21" customHeight="1" spans="1:10">
      <c r="A38" s="44"/>
      <c r="B38" s="19" t="s">
        <v>1592</v>
      </c>
      <c r="C38" s="20" t="s">
        <v>1578</v>
      </c>
      <c r="D38" s="165" t="s">
        <v>225</v>
      </c>
      <c r="E38" s="20" t="s">
        <v>218</v>
      </c>
      <c r="F38" s="20">
        <v>46</v>
      </c>
      <c r="G38" s="20">
        <v>71.56</v>
      </c>
      <c r="H38" s="20" t="s">
        <v>21</v>
      </c>
      <c r="I38" s="66" t="str">
        <f>VLOOKUP(H38,Sheet4!A:B,2,)</f>
        <v>Black Machine Face</v>
      </c>
      <c r="J38" s="21">
        <f>8-2-4-2</f>
        <v>0</v>
      </c>
    </row>
    <row r="39" s="6" customFormat="1" ht="21" customHeight="1" spans="1:10">
      <c r="A39" s="44"/>
      <c r="B39" s="19" t="s">
        <v>1592</v>
      </c>
      <c r="C39" s="20" t="s">
        <v>1578</v>
      </c>
      <c r="D39" s="165" t="s">
        <v>994</v>
      </c>
      <c r="E39" s="20" t="s">
        <v>218</v>
      </c>
      <c r="F39" s="20">
        <v>58</v>
      </c>
      <c r="G39" s="20">
        <v>71.56</v>
      </c>
      <c r="H39" s="20" t="s">
        <v>21</v>
      </c>
      <c r="I39" s="66" t="str">
        <f>VLOOKUP(H39,Sheet4!A:B,2,)</f>
        <v>Black Machine Face</v>
      </c>
      <c r="J39" s="21">
        <f>4-2-2</f>
        <v>0</v>
      </c>
    </row>
    <row r="40" s="6" customFormat="1" ht="21" customHeight="1" spans="1:10">
      <c r="A40" s="44"/>
      <c r="B40" s="19" t="s">
        <v>1593</v>
      </c>
      <c r="C40" s="20" t="s">
        <v>1578</v>
      </c>
      <c r="D40" s="20" t="s">
        <v>39</v>
      </c>
      <c r="E40" s="20" t="s">
        <v>218</v>
      </c>
      <c r="F40" s="20">
        <v>46</v>
      </c>
      <c r="G40" s="20">
        <v>71.56</v>
      </c>
      <c r="H40" s="20" t="s">
        <v>21</v>
      </c>
      <c r="I40" s="66" t="str">
        <f>VLOOKUP(H40,Sheet4!A:B,2,)</f>
        <v>Black Machine Face</v>
      </c>
      <c r="J40" s="21">
        <f>2+4-2+2-4-2+2-2+8-2-2-4+2-2+6+2-4-2+4-2+4-2-2-4+6-4+2-2-2+8+2-2+6-2-4-4+14+2-2-2-4-4-2-4+6-4-4+4+2</f>
        <v>6</v>
      </c>
    </row>
    <row r="41" s="6" customFormat="1" ht="21" customHeight="1" spans="1:10">
      <c r="A41" s="44"/>
      <c r="B41" s="19" t="s">
        <v>1593</v>
      </c>
      <c r="C41" s="20" t="s">
        <v>1578</v>
      </c>
      <c r="D41" s="20" t="s">
        <v>1024</v>
      </c>
      <c r="E41" s="20" t="s">
        <v>218</v>
      </c>
      <c r="F41" s="20">
        <v>58</v>
      </c>
      <c r="G41" s="20">
        <v>71.56</v>
      </c>
      <c r="H41" s="20" t="s">
        <v>21</v>
      </c>
      <c r="I41" s="66" t="str">
        <f>VLOOKUP(H41,Sheet4!A:B,2,)</f>
        <v>Black Machine Face</v>
      </c>
      <c r="J41" s="21">
        <f>2-2+2-2+2-2+4-2-2+2-2+2+2-2-2+4-2-2+2+2-2-2+2-2+2-2+6+6-2-2-4-2+2-4+2</f>
        <v>2</v>
      </c>
    </row>
    <row r="42" s="6" customFormat="1" ht="21" customHeight="1" spans="1:10">
      <c r="A42" s="44"/>
      <c r="B42" s="19" t="s">
        <v>1594</v>
      </c>
      <c r="C42" s="20" t="s">
        <v>1578</v>
      </c>
      <c r="D42" s="20" t="s">
        <v>39</v>
      </c>
      <c r="E42" s="20" t="s">
        <v>218</v>
      </c>
      <c r="F42" s="20">
        <v>46</v>
      </c>
      <c r="G42" s="20">
        <v>71.56</v>
      </c>
      <c r="H42" s="20" t="s">
        <v>16</v>
      </c>
      <c r="I42" s="66" t="str">
        <f>VLOOKUP(H42,Sheet4!A:B,2,)</f>
        <v>GLOSS BLACK</v>
      </c>
      <c r="J42" s="21">
        <f>4+2-2-2-2+2+2-2-2+8-2-2+14-2-2+4-4-4-2</f>
        <v>8</v>
      </c>
    </row>
    <row r="43" s="6" customFormat="1" ht="21" customHeight="1" spans="1:10">
      <c r="A43" s="44"/>
      <c r="B43" s="19" t="s">
        <v>1594</v>
      </c>
      <c r="C43" s="20" t="s">
        <v>1578</v>
      </c>
      <c r="D43" s="20" t="s">
        <v>1024</v>
      </c>
      <c r="E43" s="20" t="s">
        <v>218</v>
      </c>
      <c r="F43" s="20">
        <v>58</v>
      </c>
      <c r="G43" s="20">
        <v>71.56</v>
      </c>
      <c r="H43" s="20" t="s">
        <v>16</v>
      </c>
      <c r="I43" s="66" t="str">
        <f>VLOOKUP(H43,Sheet4!A:B,2,)</f>
        <v>GLOSS BLACK</v>
      </c>
      <c r="J43" s="21">
        <f>4+2-2-2-2+2+2-2-2+4-2-2+10-2-2+4-4-4-2</f>
        <v>0</v>
      </c>
    </row>
    <row r="44" s="6" customFormat="1" ht="21" customHeight="1" spans="1:10">
      <c r="A44" s="44"/>
      <c r="B44" s="19" t="s">
        <v>1595</v>
      </c>
      <c r="C44" s="20" t="s">
        <v>1578</v>
      </c>
      <c r="D44" s="20" t="s">
        <v>39</v>
      </c>
      <c r="E44" s="20" t="s">
        <v>218</v>
      </c>
      <c r="F44" s="20">
        <v>46</v>
      </c>
      <c r="G44" s="20">
        <v>71.56</v>
      </c>
      <c r="H44" s="20" t="s">
        <v>1596</v>
      </c>
      <c r="I44" s="66" t="str">
        <f>VLOOKUP(H44,Sheet4!A:B,2,)</f>
        <v>MATTE GREY</v>
      </c>
      <c r="J44" s="166">
        <f>8-2-4-2+6-2+2-4-2+8</f>
        <v>8</v>
      </c>
    </row>
    <row r="45" s="6" customFormat="1" ht="21" customHeight="1" spans="1:10">
      <c r="A45" s="44"/>
      <c r="B45" s="19" t="s">
        <v>1595</v>
      </c>
      <c r="C45" s="20" t="s">
        <v>1578</v>
      </c>
      <c r="D45" s="20" t="s">
        <v>1024</v>
      </c>
      <c r="E45" s="20" t="s">
        <v>218</v>
      </c>
      <c r="F45" s="20">
        <v>58</v>
      </c>
      <c r="G45" s="20">
        <v>71.56</v>
      </c>
      <c r="H45" s="20" t="s">
        <v>1596</v>
      </c>
      <c r="I45" s="66" t="str">
        <f>VLOOKUP(H45,Sheet4!A:B,2,)</f>
        <v>MATTE GREY</v>
      </c>
      <c r="J45" s="166">
        <f>4-2-2+2-2+2-2+4</f>
        <v>4</v>
      </c>
    </row>
    <row r="46" s="6" customFormat="1" ht="21" customHeight="1" spans="1:10">
      <c r="A46" s="44"/>
      <c r="B46" s="19" t="s">
        <v>1597</v>
      </c>
      <c r="C46" s="20" t="s">
        <v>1578</v>
      </c>
      <c r="D46" s="20" t="s">
        <v>34</v>
      </c>
      <c r="E46" s="20" t="s">
        <v>218</v>
      </c>
      <c r="F46" s="20">
        <v>46</v>
      </c>
      <c r="G46" s="20">
        <v>71.56</v>
      </c>
      <c r="H46" s="20" t="s">
        <v>21</v>
      </c>
      <c r="I46" s="66" t="str">
        <f>VLOOKUP(H46,Sheet4!A:B,2,)</f>
        <v>Black Machine Face</v>
      </c>
      <c r="J46" s="21">
        <f>2-2+2-2+2-2+2-2+2-2</f>
        <v>0</v>
      </c>
    </row>
    <row r="47" s="6" customFormat="1" ht="21" customHeight="1" spans="1:10">
      <c r="A47" s="44"/>
      <c r="B47" s="19" t="s">
        <v>1597</v>
      </c>
      <c r="C47" s="20" t="s">
        <v>1578</v>
      </c>
      <c r="D47" s="20" t="s">
        <v>1292</v>
      </c>
      <c r="E47" s="20" t="s">
        <v>218</v>
      </c>
      <c r="F47" s="20">
        <v>58</v>
      </c>
      <c r="G47" s="20">
        <v>71.56</v>
      </c>
      <c r="H47" s="20" t="s">
        <v>21</v>
      </c>
      <c r="I47" s="66" t="str">
        <f>VLOOKUP(H47,Sheet4!A:B,2,)</f>
        <v>Black Machine Face</v>
      </c>
      <c r="J47" s="21">
        <f>2-2+2-2+2-2+2-2+2-2</f>
        <v>0</v>
      </c>
    </row>
    <row r="48" s="6" customFormat="1" ht="21" customHeight="1" spans="1:10">
      <c r="A48" s="44"/>
      <c r="B48" s="19" t="s">
        <v>1598</v>
      </c>
      <c r="C48" s="20" t="s">
        <v>1564</v>
      </c>
      <c r="D48" s="20" t="s">
        <v>19</v>
      </c>
      <c r="E48" s="20" t="s">
        <v>208</v>
      </c>
      <c r="F48" s="20">
        <v>26</v>
      </c>
      <c r="G48" s="20">
        <v>66.45</v>
      </c>
      <c r="H48" s="20" t="s">
        <v>21</v>
      </c>
      <c r="I48" s="66" t="str">
        <f>VLOOKUP(H48,Sheet4!A:B,2,)</f>
        <v>Black Machine Face</v>
      </c>
      <c r="J48" s="21">
        <f>2-2+2-2+2-2+2-2</f>
        <v>0</v>
      </c>
    </row>
    <row r="49" s="6" customFormat="1" ht="21" customHeight="1" spans="1:10">
      <c r="A49" s="44"/>
      <c r="B49" s="19" t="s">
        <v>1599</v>
      </c>
      <c r="C49" s="20" t="s">
        <v>1564</v>
      </c>
      <c r="D49" s="20" t="s">
        <v>878</v>
      </c>
      <c r="E49" s="20" t="s">
        <v>208</v>
      </c>
      <c r="F49" s="20">
        <v>19</v>
      </c>
      <c r="G49" s="20">
        <v>66.45</v>
      </c>
      <c r="H49" s="20" t="s">
        <v>21</v>
      </c>
      <c r="I49" s="66" t="str">
        <f>VLOOKUP(H49,Sheet4!A:B,2,)</f>
        <v>Black Machine Face</v>
      </c>
      <c r="J49" s="21">
        <f>2-2+2-2+2-2+2-2</f>
        <v>0</v>
      </c>
    </row>
    <row r="50" s="6" customFormat="1" ht="21" customHeight="1" spans="1:10">
      <c r="A50" s="44"/>
      <c r="B50" s="19" t="s">
        <v>1600</v>
      </c>
      <c r="C50" s="20" t="s">
        <v>1564</v>
      </c>
      <c r="D50" s="20" t="s">
        <v>31</v>
      </c>
      <c r="E50" s="20" t="s">
        <v>208</v>
      </c>
      <c r="F50" s="20">
        <v>26</v>
      </c>
      <c r="G50" s="20">
        <v>66.45</v>
      </c>
      <c r="H50" s="20" t="s">
        <v>21</v>
      </c>
      <c r="I50" s="66" t="str">
        <f>VLOOKUP(H50,Sheet4!A:B,2,)</f>
        <v>Black Machine Face</v>
      </c>
      <c r="J50" s="21">
        <f>2+2-2+2+2-2-2-2+2-2+2-2+4-2-2+2-2+2-2+2+2-2+6-2-2-2</f>
        <v>2</v>
      </c>
    </row>
    <row r="51" s="6" customFormat="1" ht="21" customHeight="1" spans="1:10">
      <c r="A51" s="44"/>
      <c r="B51" s="19" t="s">
        <v>1600</v>
      </c>
      <c r="C51" s="20" t="s">
        <v>1564</v>
      </c>
      <c r="D51" s="20" t="s">
        <v>556</v>
      </c>
      <c r="E51" s="20" t="s">
        <v>208</v>
      </c>
      <c r="F51" s="20">
        <v>19</v>
      </c>
      <c r="G51" s="20">
        <v>66.45</v>
      </c>
      <c r="H51" s="20" t="s">
        <v>21</v>
      </c>
      <c r="I51" s="66" t="str">
        <f>VLOOKUP(H51,Sheet4!A:B,2,)</f>
        <v>Black Machine Face</v>
      </c>
      <c r="J51" s="21">
        <f>2+2-2+2+2-2-2-2+2-2+2-2+4-2-2+2-2+2-2+2+2-2+6-2-2-2</f>
        <v>2</v>
      </c>
    </row>
    <row r="52" s="6" customFormat="1" ht="21" customHeight="1" spans="1:10">
      <c r="A52" s="44"/>
      <c r="B52" s="19" t="s">
        <v>1601</v>
      </c>
      <c r="C52" s="20" t="s">
        <v>1564</v>
      </c>
      <c r="D52" s="20" t="s">
        <v>39</v>
      </c>
      <c r="E52" s="20" t="s">
        <v>208</v>
      </c>
      <c r="F52" s="20">
        <v>26</v>
      </c>
      <c r="G52" s="20">
        <v>66.45</v>
      </c>
      <c r="H52" s="20" t="s">
        <v>159</v>
      </c>
      <c r="I52" s="66" t="str">
        <f>VLOOKUP(H52,Sheet4!A:B,2,)</f>
        <v>MATTE BLACK</v>
      </c>
      <c r="J52" s="21">
        <f>4-2+2-2-2</f>
        <v>0</v>
      </c>
    </row>
    <row r="53" s="6" customFormat="1" ht="21" customHeight="1" spans="1:10">
      <c r="A53" s="44"/>
      <c r="B53" s="19" t="s">
        <v>1601</v>
      </c>
      <c r="C53" s="20" t="s">
        <v>1564</v>
      </c>
      <c r="D53" s="20" t="s">
        <v>556</v>
      </c>
      <c r="E53" s="20" t="s">
        <v>208</v>
      </c>
      <c r="F53" s="20">
        <v>19</v>
      </c>
      <c r="G53" s="20">
        <v>66.45</v>
      </c>
      <c r="H53" s="20" t="s">
        <v>159</v>
      </c>
      <c r="I53" s="66" t="str">
        <f>VLOOKUP(H53,Sheet4!A:B,2,)</f>
        <v>MATTE BLACK</v>
      </c>
      <c r="J53" s="21">
        <f>4-2+2-2-2</f>
        <v>0</v>
      </c>
    </row>
    <row r="54" s="6" customFormat="1" ht="21" customHeight="1" spans="1:10">
      <c r="A54" s="44"/>
      <c r="B54" s="19" t="s">
        <v>1602</v>
      </c>
      <c r="C54" s="20" t="s">
        <v>1564</v>
      </c>
      <c r="D54" s="167" t="s">
        <v>39</v>
      </c>
      <c r="E54" s="20" t="s">
        <v>208</v>
      </c>
      <c r="F54" s="20">
        <v>26</v>
      </c>
      <c r="G54" s="20">
        <v>66.45</v>
      </c>
      <c r="H54" s="20" t="s">
        <v>16</v>
      </c>
      <c r="I54" s="66" t="str">
        <f>VLOOKUP(H54,Sheet4!A:B,2,)</f>
        <v>GLOSS BLACK</v>
      </c>
      <c r="J54" s="21">
        <f>6+4-4-2-4</f>
        <v>0</v>
      </c>
    </row>
    <row r="55" s="6" customFormat="1" ht="21" customHeight="1" spans="1:10">
      <c r="A55" s="44"/>
      <c r="B55" s="19" t="s">
        <v>1602</v>
      </c>
      <c r="C55" s="20" t="s">
        <v>1564</v>
      </c>
      <c r="D55" s="20" t="s">
        <v>556</v>
      </c>
      <c r="E55" s="20" t="s">
        <v>208</v>
      </c>
      <c r="F55" s="20">
        <v>19</v>
      </c>
      <c r="G55" s="20">
        <v>66.45</v>
      </c>
      <c r="H55" s="20" t="s">
        <v>16</v>
      </c>
      <c r="I55" s="66" t="str">
        <f>VLOOKUP(H55,Sheet4!A:B,2,)</f>
        <v>GLOSS BLACK</v>
      </c>
      <c r="J55" s="21">
        <f>6+4-4-2-4</f>
        <v>0</v>
      </c>
    </row>
    <row r="56" s="6" customFormat="1" ht="21" customHeight="1" spans="1:10">
      <c r="A56" s="44"/>
      <c r="B56" s="19" t="s">
        <v>1603</v>
      </c>
      <c r="C56" s="20" t="s">
        <v>1604</v>
      </c>
      <c r="D56" s="20" t="s">
        <v>101</v>
      </c>
      <c r="E56" s="31" t="s">
        <v>218</v>
      </c>
      <c r="F56" s="20">
        <v>27</v>
      </c>
      <c r="G56" s="20">
        <v>66.45</v>
      </c>
      <c r="H56" s="20" t="s">
        <v>21</v>
      </c>
      <c r="I56" s="66" t="str">
        <f>VLOOKUP(H56,Sheet4!A:B,2,)</f>
        <v>Black Machine Face</v>
      </c>
      <c r="J56" s="21">
        <v>6</v>
      </c>
    </row>
    <row r="57" s="6" customFormat="1" ht="21" customHeight="1" spans="1:10">
      <c r="A57" s="112"/>
      <c r="B57" s="49" t="s">
        <v>1603</v>
      </c>
      <c r="C57" s="50" t="s">
        <v>1604</v>
      </c>
      <c r="D57" s="50" t="s">
        <v>493</v>
      </c>
      <c r="E57" s="168" t="s">
        <v>218</v>
      </c>
      <c r="F57" s="50">
        <v>47</v>
      </c>
      <c r="G57" s="50">
        <v>66.45</v>
      </c>
      <c r="H57" s="50" t="s">
        <v>21</v>
      </c>
      <c r="I57" s="164" t="str">
        <f>VLOOKUP(H57,Sheet4!A:B,2,)</f>
        <v>Black Machine Face</v>
      </c>
      <c r="J57" s="114">
        <v>6</v>
      </c>
    </row>
    <row r="58" s="6" customFormat="1" ht="21" customHeight="1" spans="1:10">
      <c r="A58" s="82"/>
      <c r="B58" s="19" t="s">
        <v>1605</v>
      </c>
      <c r="C58" s="20" t="s">
        <v>1574</v>
      </c>
      <c r="D58" s="20" t="s">
        <v>23</v>
      </c>
      <c r="E58" s="20" t="s">
        <v>218</v>
      </c>
      <c r="F58" s="20">
        <v>45</v>
      </c>
      <c r="G58" s="20">
        <v>71.56</v>
      </c>
      <c r="H58" s="20" t="s">
        <v>87</v>
      </c>
      <c r="I58" s="66" t="str">
        <f>VLOOKUP(H58,Sheet4!A:B,2,)</f>
        <v>Gunmetal Machine Face</v>
      </c>
      <c r="J58" s="42">
        <f>4-4+8+4-4-4-4+4-4+4-4+12-4-4-4+8-4-4+4-4+4-4</f>
        <v>0</v>
      </c>
    </row>
    <row r="59" s="6" customFormat="1" ht="21" customHeight="1" spans="1:10">
      <c r="A59" s="18"/>
      <c r="B59" s="19" t="s">
        <v>1606</v>
      </c>
      <c r="C59" s="20" t="s">
        <v>1578</v>
      </c>
      <c r="D59" s="20" t="s">
        <v>23</v>
      </c>
      <c r="E59" s="20" t="s">
        <v>218</v>
      </c>
      <c r="F59" s="20">
        <v>42</v>
      </c>
      <c r="G59" s="20">
        <v>71.56</v>
      </c>
      <c r="H59" s="20" t="s">
        <v>87</v>
      </c>
      <c r="I59" s="66" t="str">
        <f>VLOOKUP(H59,Sheet4!A:B,2,)</f>
        <v>Gunmetal Machine Face</v>
      </c>
      <c r="J59" s="42">
        <f>12-4</f>
        <v>8</v>
      </c>
    </row>
    <row r="60" s="6" customFormat="1" ht="21" customHeight="1" spans="1:10">
      <c r="A60" s="18"/>
      <c r="B60" s="19" t="s">
        <v>1606</v>
      </c>
      <c r="C60" s="20" t="s">
        <v>1578</v>
      </c>
      <c r="D60" s="20" t="s">
        <v>482</v>
      </c>
      <c r="E60" s="20" t="s">
        <v>218</v>
      </c>
      <c r="F60" s="20">
        <v>54</v>
      </c>
      <c r="G60" s="20">
        <v>71.56</v>
      </c>
      <c r="H60" s="20" t="s">
        <v>87</v>
      </c>
      <c r="I60" s="66" t="str">
        <f>VLOOKUP(H60,Sheet4!A:B,2,)</f>
        <v>Gunmetal Machine Face</v>
      </c>
      <c r="J60" s="42">
        <v>4</v>
      </c>
    </row>
    <row r="61" s="6" customFormat="1" ht="21" customHeight="1" spans="1:10">
      <c r="A61" s="18"/>
      <c r="B61" s="19" t="s">
        <v>1607</v>
      </c>
      <c r="C61" s="20" t="s">
        <v>1578</v>
      </c>
      <c r="D61" s="20" t="s">
        <v>225</v>
      </c>
      <c r="E61" s="20" t="s">
        <v>218</v>
      </c>
      <c r="F61" s="20">
        <v>46</v>
      </c>
      <c r="G61" s="20">
        <v>71.56</v>
      </c>
      <c r="H61" s="20" t="s">
        <v>16</v>
      </c>
      <c r="I61" s="66" t="str">
        <f>VLOOKUP(H61,Sheet4!A:B,2,)</f>
        <v>GLOSS BLACK</v>
      </c>
      <c r="J61" s="42">
        <f>4-4+1+3+4-2-4+8+2</f>
        <v>12</v>
      </c>
    </row>
    <row r="62" s="6" customFormat="1" ht="21" customHeight="1" spans="1:10">
      <c r="A62" s="18"/>
      <c r="B62" s="19" t="s">
        <v>1608</v>
      </c>
      <c r="C62" s="20" t="s">
        <v>1578</v>
      </c>
      <c r="D62" s="20" t="s">
        <v>994</v>
      </c>
      <c r="E62" s="20" t="s">
        <v>218</v>
      </c>
      <c r="F62" s="20">
        <v>58</v>
      </c>
      <c r="G62" s="20">
        <v>71.56</v>
      </c>
      <c r="H62" s="20" t="s">
        <v>16</v>
      </c>
      <c r="I62" s="66" t="str">
        <f>VLOOKUP(H62,Sheet4!A:B,2,)</f>
        <v>GLOSS BLACK</v>
      </c>
      <c r="J62" s="42">
        <f>4+2-2+2</f>
        <v>6</v>
      </c>
    </row>
    <row r="63" s="6" customFormat="1" ht="21" customHeight="1" spans="1:10">
      <c r="A63" s="18"/>
      <c r="B63" s="19" t="s">
        <v>1609</v>
      </c>
      <c r="C63" s="20" t="s">
        <v>1578</v>
      </c>
      <c r="D63" s="20" t="s">
        <v>225</v>
      </c>
      <c r="E63" s="20" t="s">
        <v>218</v>
      </c>
      <c r="F63" s="20" t="s">
        <v>1610</v>
      </c>
      <c r="G63" s="20">
        <v>71.56</v>
      </c>
      <c r="H63" s="20" t="s">
        <v>87</v>
      </c>
      <c r="I63" s="66" t="str">
        <f>VLOOKUP(H63,Sheet4!A:B,2,)</f>
        <v>Gunmetal Machine Face</v>
      </c>
      <c r="J63" s="42">
        <f>13-4+8-4</f>
        <v>13</v>
      </c>
    </row>
    <row r="64" s="6" customFormat="1" ht="21" customHeight="1" spans="1:10">
      <c r="A64" s="18"/>
      <c r="B64" s="19" t="s">
        <v>1611</v>
      </c>
      <c r="C64" s="20" t="s">
        <v>1578</v>
      </c>
      <c r="D64" s="20" t="s">
        <v>994</v>
      </c>
      <c r="E64" s="20" t="s">
        <v>218</v>
      </c>
      <c r="F64" s="20">
        <v>58</v>
      </c>
      <c r="G64" s="20">
        <v>71.56</v>
      </c>
      <c r="H64" s="20" t="s">
        <v>87</v>
      </c>
      <c r="I64" s="66" t="str">
        <f>VLOOKUP(H64,Sheet4!A:B,2,)</f>
        <v>Gunmetal Machine Face</v>
      </c>
      <c r="J64" s="42">
        <f>4-2-2+2-2+4+2+4-2-2-2-2+4-2-2</f>
        <v>2</v>
      </c>
    </row>
    <row r="65" s="6" customFormat="1" ht="21" customHeight="1" spans="1:10">
      <c r="A65" s="18"/>
      <c r="B65" s="19" t="s">
        <v>1612</v>
      </c>
      <c r="C65" s="20" t="s">
        <v>1578</v>
      </c>
      <c r="D65" s="20" t="s">
        <v>39</v>
      </c>
      <c r="E65" s="20" t="s">
        <v>218</v>
      </c>
      <c r="F65" s="20">
        <v>46</v>
      </c>
      <c r="G65" s="20">
        <v>71.56</v>
      </c>
      <c r="H65" s="20" t="s">
        <v>16</v>
      </c>
      <c r="I65" s="66" t="str">
        <f>VLOOKUP(H65,Sheet4!A:B,2,)</f>
        <v>GLOSS BLACK</v>
      </c>
      <c r="J65" s="21">
        <f>4+4-2-2+2+1-2+4+2-2-4-2-2</f>
        <v>1</v>
      </c>
    </row>
    <row r="66" s="6" customFormat="1" ht="21" customHeight="1" spans="1:10">
      <c r="A66" s="18"/>
      <c r="B66" s="19" t="s">
        <v>1613</v>
      </c>
      <c r="C66" s="20" t="s">
        <v>1578</v>
      </c>
      <c r="D66" s="20" t="s">
        <v>1024</v>
      </c>
      <c r="E66" s="20" t="s">
        <v>218</v>
      </c>
      <c r="F66" s="20">
        <v>58</v>
      </c>
      <c r="G66" s="20">
        <v>71.56</v>
      </c>
      <c r="H66" s="20" t="s">
        <v>16</v>
      </c>
      <c r="I66" s="66" t="str">
        <f>VLOOKUP(H66,Sheet4!A:B,2,)</f>
        <v>GLOSS BLACK</v>
      </c>
      <c r="J66" s="21">
        <f>2-2+4-2-2+4-2-2+2-2+4+2-2-2-2</f>
        <v>0</v>
      </c>
    </row>
    <row r="67" s="6" customFormat="1" ht="21" customHeight="1" spans="1:10">
      <c r="A67" s="18"/>
      <c r="B67" s="19" t="s">
        <v>1614</v>
      </c>
      <c r="C67" s="20" t="s">
        <v>1578</v>
      </c>
      <c r="D67" s="20" t="s">
        <v>39</v>
      </c>
      <c r="E67" s="20" t="s">
        <v>218</v>
      </c>
      <c r="F67" s="20">
        <v>46</v>
      </c>
      <c r="G67" s="20">
        <v>71.56</v>
      </c>
      <c r="H67" s="20" t="s">
        <v>87</v>
      </c>
      <c r="I67" s="66" t="str">
        <f>VLOOKUP(H67,Sheet4!A:B,2,)</f>
        <v>Gunmetal Machine Face</v>
      </c>
      <c r="J67" s="21">
        <f>4-4+12-2-4-2+2+2-1+1-2-2+6-2+1-1-4-4+6-2-2-2+8-4+6-2-4-2</f>
        <v>2</v>
      </c>
    </row>
    <row r="68" s="6" customFormat="1" ht="21" customHeight="1" spans="1:10">
      <c r="A68" s="18"/>
      <c r="B68" s="19" t="s">
        <v>1615</v>
      </c>
      <c r="C68" s="20" t="s">
        <v>1578</v>
      </c>
      <c r="D68" s="20" t="s">
        <v>1024</v>
      </c>
      <c r="E68" s="20" t="s">
        <v>218</v>
      </c>
      <c r="F68" s="20">
        <v>58</v>
      </c>
      <c r="G68" s="20">
        <v>71.56</v>
      </c>
      <c r="H68" s="20" t="s">
        <v>87</v>
      </c>
      <c r="I68" s="66" t="str">
        <f>VLOOKUP(H68,Sheet4!A:B,2,)</f>
        <v>Gunmetal Machine Face</v>
      </c>
      <c r="J68" s="21">
        <f>2-2+2-1-1+4-2-2+2+2-2-2+2-2+6-2-2-2+6-2-2</f>
        <v>2</v>
      </c>
    </row>
    <row r="69" s="6" customFormat="1" ht="21" customHeight="1" spans="1:10">
      <c r="A69" s="18"/>
      <c r="B69" s="19" t="s">
        <v>1616</v>
      </c>
      <c r="C69" s="20" t="s">
        <v>1578</v>
      </c>
      <c r="D69" s="20" t="s">
        <v>343</v>
      </c>
      <c r="E69" s="20" t="s">
        <v>218</v>
      </c>
      <c r="F69" s="20">
        <v>48</v>
      </c>
      <c r="G69" s="20">
        <v>71.56</v>
      </c>
      <c r="H69" s="20" t="s">
        <v>87</v>
      </c>
      <c r="I69" s="66" t="str">
        <f>VLOOKUP(H69,Sheet4!A:B,2,)</f>
        <v>Gunmetal Machine Face</v>
      </c>
      <c r="J69" s="21">
        <f>2-2+4</f>
        <v>4</v>
      </c>
    </row>
    <row r="70" s="6" customFormat="1" ht="21" customHeight="1" spans="1:10">
      <c r="A70" s="22"/>
      <c r="B70" s="23" t="s">
        <v>1616</v>
      </c>
      <c r="C70" s="24" t="s">
        <v>1578</v>
      </c>
      <c r="D70" s="24" t="s">
        <v>1292</v>
      </c>
      <c r="E70" s="24" t="s">
        <v>218</v>
      </c>
      <c r="F70" s="24">
        <v>58</v>
      </c>
      <c r="G70" s="24">
        <v>71.56</v>
      </c>
      <c r="H70" s="24" t="s">
        <v>87</v>
      </c>
      <c r="I70" s="69" t="str">
        <f>VLOOKUP(H70,Sheet4!A:B,2,)</f>
        <v>Gunmetal Machine Face</v>
      </c>
      <c r="J70" s="25">
        <f>2-2+4</f>
        <v>4</v>
      </c>
    </row>
    <row r="71" s="63" customFormat="1" ht="57" customHeight="1" spans="1:10">
      <c r="A71" s="44"/>
      <c r="B71" s="19" t="s">
        <v>1617</v>
      </c>
      <c r="C71" s="20" t="s">
        <v>1578</v>
      </c>
      <c r="D71" s="20" t="s">
        <v>39</v>
      </c>
      <c r="E71" s="20" t="s">
        <v>218</v>
      </c>
      <c r="F71" s="20">
        <v>46</v>
      </c>
      <c r="G71" s="20">
        <v>71.56</v>
      </c>
      <c r="H71" s="20" t="s">
        <v>21</v>
      </c>
      <c r="I71" s="66" t="str">
        <f>VLOOKUP(H71,Sheet4!A:B,2,)</f>
        <v>Black Machine Face</v>
      </c>
      <c r="J71" s="42">
        <v>2</v>
      </c>
    </row>
    <row r="72" s="63" customFormat="1" ht="57" customHeight="1" spans="1:10">
      <c r="A72" s="46"/>
      <c r="B72" s="23" t="s">
        <v>1617</v>
      </c>
      <c r="C72" s="24" t="s">
        <v>1578</v>
      </c>
      <c r="D72" s="24" t="s">
        <v>1024</v>
      </c>
      <c r="E72" s="24" t="s">
        <v>218</v>
      </c>
      <c r="F72" s="24">
        <v>58</v>
      </c>
      <c r="G72" s="24">
        <v>71.56</v>
      </c>
      <c r="H72" s="24" t="s">
        <v>21</v>
      </c>
      <c r="I72" s="69" t="str">
        <f>VLOOKUP(H72,Sheet4!A:B,2,)</f>
        <v>Black Machine Face</v>
      </c>
      <c r="J72" s="43">
        <v>2</v>
      </c>
    </row>
    <row r="73" s="6" customFormat="1" ht="55" customHeight="1" spans="1:10">
      <c r="A73" s="44"/>
      <c r="B73" s="19" t="s">
        <v>1618</v>
      </c>
      <c r="C73" s="20" t="s">
        <v>1578</v>
      </c>
      <c r="D73" s="20" t="s">
        <v>23</v>
      </c>
      <c r="E73" s="20" t="s">
        <v>218</v>
      </c>
      <c r="F73" s="20">
        <v>47</v>
      </c>
      <c r="G73" s="20">
        <v>71.56</v>
      </c>
      <c r="H73" s="20" t="s">
        <v>36</v>
      </c>
      <c r="I73" s="66" t="str">
        <f>VLOOKUP(H73,Sheet4!A:B,2,)</f>
        <v>Black Machine Face</v>
      </c>
      <c r="J73" s="42">
        <f>2-2+2</f>
        <v>2</v>
      </c>
    </row>
    <row r="74" s="6" customFormat="1" ht="55" customHeight="1" spans="1:10">
      <c r="A74" s="112"/>
      <c r="B74" s="49" t="s">
        <v>1618</v>
      </c>
      <c r="C74" s="50" t="s">
        <v>1578</v>
      </c>
      <c r="D74" s="50" t="s">
        <v>482</v>
      </c>
      <c r="E74" s="50" t="s">
        <v>218</v>
      </c>
      <c r="F74" s="50">
        <v>54</v>
      </c>
      <c r="G74" s="50">
        <v>71.56</v>
      </c>
      <c r="H74" s="50" t="s">
        <v>36</v>
      </c>
      <c r="I74" s="164" t="str">
        <f>VLOOKUP(H74,Sheet4!A:B,2,)</f>
        <v>Black Machine Face</v>
      </c>
      <c r="J74" s="51">
        <f>2-2+2</f>
        <v>2</v>
      </c>
    </row>
    <row r="75" s="6" customFormat="1" ht="18" customHeight="1" spans="1:10">
      <c r="A75" s="18"/>
      <c r="B75" s="19" t="s">
        <v>1619</v>
      </c>
      <c r="C75" s="20" t="s">
        <v>1564</v>
      </c>
      <c r="D75" s="20" t="s">
        <v>19</v>
      </c>
      <c r="E75" s="20" t="s">
        <v>208</v>
      </c>
      <c r="F75" s="20">
        <v>26</v>
      </c>
      <c r="G75" s="20">
        <v>66.45</v>
      </c>
      <c r="H75" s="20" t="s">
        <v>102</v>
      </c>
      <c r="I75" s="66" t="str">
        <f>VLOOKUP(H75,Sheet4!A:B,2,)</f>
        <v>MATTE BLACK</v>
      </c>
      <c r="J75" s="21">
        <f>2</f>
        <v>2</v>
      </c>
    </row>
    <row r="76" s="6" customFormat="1" ht="18" customHeight="1" spans="1:10">
      <c r="A76" s="18"/>
      <c r="B76" s="19" t="s">
        <v>1619</v>
      </c>
      <c r="C76" s="20" t="s">
        <v>1564</v>
      </c>
      <c r="D76" s="20" t="s">
        <v>878</v>
      </c>
      <c r="E76" s="20" t="s">
        <v>208</v>
      </c>
      <c r="F76" s="20">
        <v>19</v>
      </c>
      <c r="G76" s="20">
        <v>66.45</v>
      </c>
      <c r="H76" s="20" t="s">
        <v>102</v>
      </c>
      <c r="I76" s="66" t="str">
        <f>VLOOKUP(H76,Sheet4!A:B,2,)</f>
        <v>MATTE BLACK</v>
      </c>
      <c r="J76" s="21">
        <f>2</f>
        <v>2</v>
      </c>
    </row>
    <row r="77" s="6" customFormat="1" ht="18" customHeight="1" spans="1:10">
      <c r="A77" s="18"/>
      <c r="B77" s="19" t="s">
        <v>1620</v>
      </c>
      <c r="C77" s="20" t="s">
        <v>1564</v>
      </c>
      <c r="D77" s="20" t="s">
        <v>19</v>
      </c>
      <c r="E77" s="20" t="s">
        <v>208</v>
      </c>
      <c r="F77" s="20">
        <v>26</v>
      </c>
      <c r="G77" s="20">
        <v>66.45</v>
      </c>
      <c r="H77" s="20" t="s">
        <v>317</v>
      </c>
      <c r="I77" s="66" t="str">
        <f>VLOOKUP(H77,Sheet4!A:B,2,)</f>
        <v>MATTE GREY</v>
      </c>
      <c r="J77" s="21">
        <f>2+2</f>
        <v>4</v>
      </c>
    </row>
    <row r="78" s="6" customFormat="1" ht="18" customHeight="1" spans="1:10">
      <c r="A78" s="18"/>
      <c r="B78" s="19" t="s">
        <v>1620</v>
      </c>
      <c r="C78" s="20" t="s">
        <v>1564</v>
      </c>
      <c r="D78" s="20" t="s">
        <v>878</v>
      </c>
      <c r="E78" s="20" t="s">
        <v>208</v>
      </c>
      <c r="F78" s="20">
        <v>19</v>
      </c>
      <c r="G78" s="20">
        <v>66.45</v>
      </c>
      <c r="H78" s="20" t="s">
        <v>317</v>
      </c>
      <c r="I78" s="66" t="str">
        <f>VLOOKUP(H78,Sheet4!A:B,2,)</f>
        <v>MATTE GREY</v>
      </c>
      <c r="J78" s="21">
        <f>2+2</f>
        <v>4</v>
      </c>
    </row>
    <row r="79" s="6" customFormat="1" ht="18" customHeight="1" spans="1:10">
      <c r="A79" s="18"/>
      <c r="B79" s="19" t="s">
        <v>1621</v>
      </c>
      <c r="C79" s="20" t="s">
        <v>1564</v>
      </c>
      <c r="D79" s="20" t="s">
        <v>31</v>
      </c>
      <c r="E79" s="20" t="s">
        <v>208</v>
      </c>
      <c r="F79" s="20">
        <v>26</v>
      </c>
      <c r="G79" s="20">
        <v>66.45</v>
      </c>
      <c r="H79" s="20" t="s">
        <v>102</v>
      </c>
      <c r="I79" s="66" t="str">
        <f>VLOOKUP(H79,Sheet4!A:B,2,)</f>
        <v>MATTE BLACK</v>
      </c>
      <c r="J79" s="21">
        <f>6-4-2</f>
        <v>0</v>
      </c>
    </row>
    <row r="80" s="6" customFormat="1" ht="18" customHeight="1" spans="1:10">
      <c r="A80" s="18"/>
      <c r="B80" s="19" t="s">
        <v>1621</v>
      </c>
      <c r="C80" s="20" t="s">
        <v>1564</v>
      </c>
      <c r="D80" s="20" t="s">
        <v>556</v>
      </c>
      <c r="E80" s="20" t="s">
        <v>208</v>
      </c>
      <c r="F80" s="20">
        <v>19</v>
      </c>
      <c r="G80" s="20">
        <v>66.45</v>
      </c>
      <c r="H80" s="20" t="s">
        <v>102</v>
      </c>
      <c r="I80" s="66" t="str">
        <f>VLOOKUP(H80,Sheet4!A:B,2,)</f>
        <v>MATTE BLACK</v>
      </c>
      <c r="J80" s="21">
        <f>6-4-2</f>
        <v>0</v>
      </c>
    </row>
    <row r="81" s="6" customFormat="1" ht="19" customHeight="1" spans="1:10">
      <c r="A81" s="18"/>
      <c r="B81" s="19" t="s">
        <v>1622</v>
      </c>
      <c r="C81" s="20" t="s">
        <v>1564</v>
      </c>
      <c r="D81" s="20" t="s">
        <v>31</v>
      </c>
      <c r="E81" s="20" t="s">
        <v>208</v>
      </c>
      <c r="F81" s="20">
        <v>26</v>
      </c>
      <c r="G81" s="20">
        <v>66.45</v>
      </c>
      <c r="H81" s="20" t="s">
        <v>317</v>
      </c>
      <c r="I81" s="66" t="s">
        <v>311</v>
      </c>
      <c r="J81" s="21">
        <v>3</v>
      </c>
    </row>
    <row r="82" s="6" customFormat="1" ht="19" customHeight="1" spans="1:10">
      <c r="A82" s="18"/>
      <c r="B82" s="19" t="s">
        <v>1622</v>
      </c>
      <c r="C82" s="20" t="s">
        <v>1564</v>
      </c>
      <c r="D82" s="20" t="s">
        <v>556</v>
      </c>
      <c r="E82" s="20" t="s">
        <v>208</v>
      </c>
      <c r="F82" s="20">
        <v>19</v>
      </c>
      <c r="G82" s="20">
        <v>66.45</v>
      </c>
      <c r="H82" s="20" t="s">
        <v>317</v>
      </c>
      <c r="I82" s="66" t="s">
        <v>311</v>
      </c>
      <c r="J82" s="21">
        <v>4</v>
      </c>
    </row>
    <row r="83" s="6" customFormat="1" ht="18" customHeight="1" spans="1:10">
      <c r="A83" s="18"/>
      <c r="B83" s="19" t="s">
        <v>1623</v>
      </c>
      <c r="C83" s="20" t="s">
        <v>1578</v>
      </c>
      <c r="D83" s="20" t="s">
        <v>225</v>
      </c>
      <c r="E83" s="20" t="s">
        <v>218</v>
      </c>
      <c r="F83" s="20">
        <v>46</v>
      </c>
      <c r="G83" s="20">
        <v>71.56</v>
      </c>
      <c r="H83" s="20" t="s">
        <v>1449</v>
      </c>
      <c r="I83" s="66" t="str">
        <f>VLOOKUP(H83,Sheet4!A:B,2,)</f>
        <v>MATTE GREY</v>
      </c>
      <c r="J83" s="42">
        <f>2-2</f>
        <v>0</v>
      </c>
    </row>
    <row r="84" s="6" customFormat="1" ht="18" customHeight="1" spans="1:10">
      <c r="A84" s="18"/>
      <c r="B84" s="19" t="s">
        <v>1623</v>
      </c>
      <c r="C84" s="20" t="s">
        <v>1578</v>
      </c>
      <c r="D84" s="20" t="s">
        <v>994</v>
      </c>
      <c r="E84" s="20" t="s">
        <v>218</v>
      </c>
      <c r="F84" s="20">
        <v>58</v>
      </c>
      <c r="G84" s="20">
        <v>71.56</v>
      </c>
      <c r="H84" s="20" t="s">
        <v>1449</v>
      </c>
      <c r="I84" s="66" t="str">
        <f>VLOOKUP(H84,Sheet4!A:B,2,)</f>
        <v>MATTE GREY</v>
      </c>
      <c r="J84" s="42">
        <f>2-2</f>
        <v>0</v>
      </c>
    </row>
    <row r="85" s="6" customFormat="1" ht="18" customHeight="1" spans="1:10">
      <c r="A85" s="18"/>
      <c r="B85" s="19" t="s">
        <v>1624</v>
      </c>
      <c r="C85" s="20" t="s">
        <v>1578</v>
      </c>
      <c r="D85" s="20" t="s">
        <v>39</v>
      </c>
      <c r="E85" s="20" t="s">
        <v>218</v>
      </c>
      <c r="F85" s="20">
        <v>46</v>
      </c>
      <c r="G85" s="20">
        <v>71.56</v>
      </c>
      <c r="H85" s="20" t="s">
        <v>1449</v>
      </c>
      <c r="I85" s="66" t="str">
        <f>VLOOKUP(H85,Sheet4!A:B,2,)</f>
        <v>MATTE GREY</v>
      </c>
      <c r="J85" s="42">
        <f>2-2+2+4-2-2-2+2-2</f>
        <v>0</v>
      </c>
    </row>
    <row r="86" s="6" customFormat="1" ht="18" customHeight="1" spans="1:10">
      <c r="A86" s="18"/>
      <c r="B86" s="19" t="s">
        <v>1624</v>
      </c>
      <c r="C86" s="20" t="s">
        <v>1578</v>
      </c>
      <c r="D86" s="20" t="s">
        <v>1024</v>
      </c>
      <c r="E86" s="20" t="s">
        <v>218</v>
      </c>
      <c r="F86" s="20">
        <v>58</v>
      </c>
      <c r="G86" s="20">
        <v>71.56</v>
      </c>
      <c r="H86" s="20" t="s">
        <v>1449</v>
      </c>
      <c r="I86" s="66" t="str">
        <f>VLOOKUP(H86,Sheet4!A:B,2,)</f>
        <v>MATTE GREY</v>
      </c>
      <c r="J86" s="42">
        <f>2-2+2+4-2-2-2+2-2</f>
        <v>0</v>
      </c>
    </row>
    <row r="87" s="6" customFormat="1" ht="18" customHeight="1" spans="1:10">
      <c r="A87" s="18"/>
      <c r="B87" s="19" t="s">
        <v>1625</v>
      </c>
      <c r="C87" s="20" t="s">
        <v>1578</v>
      </c>
      <c r="D87" s="20" t="s">
        <v>39</v>
      </c>
      <c r="E87" s="20" t="s">
        <v>218</v>
      </c>
      <c r="F87" s="20">
        <v>46</v>
      </c>
      <c r="G87" s="20">
        <v>71.56</v>
      </c>
      <c r="H87" s="167" t="s">
        <v>1626</v>
      </c>
      <c r="I87" s="66" t="str">
        <f>VLOOKUP(H87,Sheet4!A:B,2,)</f>
        <v>MATTE GREY</v>
      </c>
      <c r="J87" s="42">
        <f>2+2-2+2-2-2</f>
        <v>0</v>
      </c>
    </row>
    <row r="88" s="6" customFormat="1" ht="18" customHeight="1" spans="1:10">
      <c r="A88" s="18"/>
      <c r="B88" s="19" t="s">
        <v>1625</v>
      </c>
      <c r="C88" s="20" t="s">
        <v>1578</v>
      </c>
      <c r="D88" s="20" t="s">
        <v>1024</v>
      </c>
      <c r="E88" s="20" t="s">
        <v>218</v>
      </c>
      <c r="F88" s="20">
        <v>58</v>
      </c>
      <c r="G88" s="20">
        <v>71.56</v>
      </c>
      <c r="H88" s="167" t="s">
        <v>1626</v>
      </c>
      <c r="I88" s="66" t="str">
        <f>VLOOKUP(H88,Sheet4!A:B,2,)</f>
        <v>MATTE GREY</v>
      </c>
      <c r="J88" s="42">
        <f>2+2-2+2-2-2</f>
        <v>0</v>
      </c>
    </row>
    <row r="89" s="6" customFormat="1" ht="18" customHeight="1" spans="1:10">
      <c r="A89" s="18"/>
      <c r="B89" s="19" t="s">
        <v>1627</v>
      </c>
      <c r="C89" s="20" t="s">
        <v>1578</v>
      </c>
      <c r="D89" s="20" t="s">
        <v>39</v>
      </c>
      <c r="E89" s="20" t="s">
        <v>218</v>
      </c>
      <c r="F89" s="20">
        <v>46</v>
      </c>
      <c r="G89" s="20">
        <v>71.56</v>
      </c>
      <c r="H89" s="20" t="s">
        <v>102</v>
      </c>
      <c r="I89" s="66" t="str">
        <f>VLOOKUP(H89,Sheet4!A:B,2,)</f>
        <v>MATTE BLACK</v>
      </c>
      <c r="J89" s="42">
        <f>4-2-2+2-2+2-2+2-2</f>
        <v>0</v>
      </c>
    </row>
    <row r="90" s="6" customFormat="1" ht="18" customHeight="1" spans="1:10">
      <c r="A90" s="18"/>
      <c r="B90" s="19" t="s">
        <v>1627</v>
      </c>
      <c r="C90" s="20" t="s">
        <v>1578</v>
      </c>
      <c r="D90" s="20" t="s">
        <v>1024</v>
      </c>
      <c r="E90" s="20" t="s">
        <v>218</v>
      </c>
      <c r="F90" s="20">
        <v>58</v>
      </c>
      <c r="G90" s="20">
        <v>71.56</v>
      </c>
      <c r="H90" s="20" t="s">
        <v>102</v>
      </c>
      <c r="I90" s="66" t="str">
        <f>VLOOKUP(H90,Sheet4!A:B,2,)</f>
        <v>MATTE BLACK</v>
      </c>
      <c r="J90" s="42">
        <f>4-2-2+2-2+2-2+2-2</f>
        <v>0</v>
      </c>
    </row>
    <row r="91" s="6" customFormat="1" ht="18" customHeight="1" spans="1:10">
      <c r="A91" s="18"/>
      <c r="B91" s="19" t="s">
        <v>1628</v>
      </c>
      <c r="C91" s="20" t="s">
        <v>1578</v>
      </c>
      <c r="D91" s="20" t="s">
        <v>34</v>
      </c>
      <c r="E91" s="20" t="s">
        <v>218</v>
      </c>
      <c r="F91" s="20">
        <v>46</v>
      </c>
      <c r="G91" s="20">
        <v>71.56</v>
      </c>
      <c r="H91" s="20" t="s">
        <v>317</v>
      </c>
      <c r="I91" s="66" t="str">
        <f>VLOOKUP(H91,Sheet4!A:B,2,)</f>
        <v>MATTE GREY</v>
      </c>
      <c r="J91" s="42">
        <f t="shared" ref="J91:J94" si="1">2-2</f>
        <v>0</v>
      </c>
    </row>
    <row r="92" s="6" customFormat="1" ht="18" customHeight="1" spans="1:10">
      <c r="A92" s="18"/>
      <c r="B92" s="19" t="s">
        <v>1628</v>
      </c>
      <c r="C92" s="20" t="s">
        <v>1578</v>
      </c>
      <c r="D92" s="20" t="s">
        <v>1292</v>
      </c>
      <c r="E92" s="20" t="s">
        <v>218</v>
      </c>
      <c r="F92" s="20">
        <v>58</v>
      </c>
      <c r="G92" s="20">
        <v>71.56</v>
      </c>
      <c r="H92" s="20" t="s">
        <v>317</v>
      </c>
      <c r="I92" s="66" t="str">
        <f>VLOOKUP(H92,Sheet4!A:B,2,)</f>
        <v>MATTE GREY</v>
      </c>
      <c r="J92" s="42">
        <f t="shared" si="1"/>
        <v>0</v>
      </c>
    </row>
    <row r="93" s="6" customFormat="1" ht="18" customHeight="1" spans="1:10">
      <c r="A93" s="44"/>
      <c r="B93" s="99" t="s">
        <v>1629</v>
      </c>
      <c r="C93" s="20" t="s">
        <v>1578</v>
      </c>
      <c r="D93" s="20" t="s">
        <v>34</v>
      </c>
      <c r="E93" s="20" t="s">
        <v>218</v>
      </c>
      <c r="F93" s="20">
        <v>46</v>
      </c>
      <c r="G93" s="20">
        <v>71.56</v>
      </c>
      <c r="H93" s="20" t="s">
        <v>102</v>
      </c>
      <c r="I93" s="66" t="str">
        <f>VLOOKUP(H93,Sheet4!A:B,2,)</f>
        <v>MATTE BLACK</v>
      </c>
      <c r="J93" s="21">
        <f t="shared" si="1"/>
        <v>0</v>
      </c>
    </row>
    <row r="94" s="6" customFormat="1" ht="18" customHeight="1" spans="1:10">
      <c r="A94" s="46"/>
      <c r="B94" s="100" t="s">
        <v>1629</v>
      </c>
      <c r="C94" s="24" t="s">
        <v>1578</v>
      </c>
      <c r="D94" s="24" t="s">
        <v>1292</v>
      </c>
      <c r="E94" s="24" t="s">
        <v>218</v>
      </c>
      <c r="F94" s="24">
        <v>58</v>
      </c>
      <c r="G94" s="24">
        <v>71.56</v>
      </c>
      <c r="H94" s="24" t="s">
        <v>102</v>
      </c>
      <c r="I94" s="69" t="str">
        <f>VLOOKUP(H94,Sheet4!A:B,2,)</f>
        <v>MATTE BLACK</v>
      </c>
      <c r="J94" s="25">
        <f t="shared" si="1"/>
        <v>0</v>
      </c>
    </row>
    <row r="95" s="6" customFormat="1" ht="56" customHeight="1" spans="1:10">
      <c r="A95" s="18"/>
      <c r="B95" s="19" t="s">
        <v>1630</v>
      </c>
      <c r="C95" s="20" t="s">
        <v>1578</v>
      </c>
      <c r="D95" s="20" t="s">
        <v>39</v>
      </c>
      <c r="E95" s="20" t="s">
        <v>218</v>
      </c>
      <c r="F95" s="20">
        <v>46</v>
      </c>
      <c r="G95" s="20">
        <v>71.56</v>
      </c>
      <c r="H95" s="20" t="s">
        <v>694</v>
      </c>
      <c r="I95" s="66" t="str">
        <f>VLOOKUP(H95,Sheet4!A:B,2,)</f>
        <v>GERY</v>
      </c>
      <c r="J95" s="42">
        <f>4-2-2</f>
        <v>0</v>
      </c>
    </row>
    <row r="96" s="6" customFormat="1" ht="56" customHeight="1" spans="1:10">
      <c r="A96" s="18"/>
      <c r="B96" s="49" t="s">
        <v>1630</v>
      </c>
      <c r="C96" s="50" t="s">
        <v>1578</v>
      </c>
      <c r="D96" s="50" t="s">
        <v>1024</v>
      </c>
      <c r="E96" s="50" t="s">
        <v>218</v>
      </c>
      <c r="F96" s="50">
        <v>58</v>
      </c>
      <c r="G96" s="50">
        <v>71.56</v>
      </c>
      <c r="H96" s="50" t="s">
        <v>694</v>
      </c>
      <c r="I96" s="164" t="str">
        <f>VLOOKUP(H96,Sheet4!A:B,2,)</f>
        <v>GERY</v>
      </c>
      <c r="J96" s="51">
        <f>4-2-2</f>
        <v>0</v>
      </c>
    </row>
    <row r="97" s="6" customFormat="1" ht="30" customHeight="1" spans="1:10">
      <c r="A97" s="44"/>
      <c r="B97" s="19" t="s">
        <v>1631</v>
      </c>
      <c r="C97" s="20">
        <v>718</v>
      </c>
      <c r="D97" s="20" t="s">
        <v>29</v>
      </c>
      <c r="E97" s="20" t="s">
        <v>218</v>
      </c>
      <c r="F97" s="20">
        <v>45</v>
      </c>
      <c r="G97" s="20">
        <v>71.56</v>
      </c>
      <c r="H97" s="20" t="s">
        <v>21</v>
      </c>
      <c r="I97" s="66" t="str">
        <f>VLOOKUP(H97,Sheet4!A:B,2,)</f>
        <v>Black Machine Face</v>
      </c>
      <c r="J97" s="42">
        <v>2</v>
      </c>
    </row>
    <row r="98" s="6" customFormat="1" ht="30" customHeight="1" spans="1:10">
      <c r="A98" s="44"/>
      <c r="B98" s="19" t="s">
        <v>1631</v>
      </c>
      <c r="C98" s="20">
        <v>718</v>
      </c>
      <c r="D98" s="20" t="s">
        <v>878</v>
      </c>
      <c r="E98" s="20" t="s">
        <v>218</v>
      </c>
      <c r="F98" s="20">
        <v>45</v>
      </c>
      <c r="G98" s="20">
        <v>71.56</v>
      </c>
      <c r="H98" s="20" t="s">
        <v>21</v>
      </c>
      <c r="I98" s="66" t="str">
        <f>VLOOKUP(H98,Sheet4!A:B,2,)</f>
        <v>Black Machine Face</v>
      </c>
      <c r="J98" s="42">
        <v>2</v>
      </c>
    </row>
    <row r="99" s="6" customFormat="1" ht="30" customHeight="1" spans="1:10">
      <c r="A99" s="44"/>
      <c r="B99" s="19" t="s">
        <v>1632</v>
      </c>
      <c r="C99" s="20" t="s">
        <v>1578</v>
      </c>
      <c r="D99" s="20" t="s">
        <v>343</v>
      </c>
      <c r="E99" s="20" t="s">
        <v>218</v>
      </c>
      <c r="F99" s="20">
        <v>48</v>
      </c>
      <c r="G99" s="20">
        <v>71.56</v>
      </c>
      <c r="H99" s="20" t="s">
        <v>21</v>
      </c>
      <c r="I99" s="66" t="str">
        <f>VLOOKUP(H99,Sheet4!A:B,2,)</f>
        <v>Black Machine Face</v>
      </c>
      <c r="J99" s="42">
        <f>2-2+2-2+2-2+4+2-2-2</f>
        <v>2</v>
      </c>
    </row>
    <row r="100" s="6" customFormat="1" ht="30" customHeight="1" spans="1:10">
      <c r="A100" s="46"/>
      <c r="B100" s="23" t="s">
        <v>1632</v>
      </c>
      <c r="C100" s="24" t="s">
        <v>1578</v>
      </c>
      <c r="D100" s="24" t="s">
        <v>1292</v>
      </c>
      <c r="E100" s="24" t="s">
        <v>218</v>
      </c>
      <c r="F100" s="24">
        <v>58</v>
      </c>
      <c r="G100" s="24">
        <v>71.56</v>
      </c>
      <c r="H100" s="24" t="s">
        <v>21</v>
      </c>
      <c r="I100" s="69" t="str">
        <f>VLOOKUP(H100,Sheet4!A:B,2,)</f>
        <v>Black Machine Face</v>
      </c>
      <c r="J100" s="43">
        <f>2-2+2-2+2-2+4+2-2-2</f>
        <v>2</v>
      </c>
    </row>
    <row r="101" s="6" customFormat="1" ht="60" customHeight="1" spans="1:10">
      <c r="A101" s="44"/>
      <c r="B101" s="19" t="s">
        <v>1633</v>
      </c>
      <c r="C101" s="20" t="s">
        <v>1574</v>
      </c>
      <c r="D101" s="20" t="s">
        <v>225</v>
      </c>
      <c r="E101" s="20" t="s">
        <v>218</v>
      </c>
      <c r="F101" s="20">
        <v>50</v>
      </c>
      <c r="G101" s="20">
        <v>71.56</v>
      </c>
      <c r="H101" s="20" t="s">
        <v>1122</v>
      </c>
      <c r="I101" s="66" t="str">
        <f>VLOOKUP(H101,Sheet4!A:B,2,)</f>
        <v>Gloss Black LIP </v>
      </c>
      <c r="J101" s="42">
        <f>4-4+4-4+4-4+4-4</f>
        <v>0</v>
      </c>
    </row>
    <row r="102" s="6" customFormat="1" ht="60" customHeight="1" spans="1:10">
      <c r="A102" s="46"/>
      <c r="B102" s="23" t="s">
        <v>1634</v>
      </c>
      <c r="C102" s="24" t="s">
        <v>1574</v>
      </c>
      <c r="D102" s="24" t="s">
        <v>556</v>
      </c>
      <c r="E102" s="24" t="s">
        <v>218</v>
      </c>
      <c r="F102" s="24">
        <v>50</v>
      </c>
      <c r="G102" s="24">
        <v>71.56</v>
      </c>
      <c r="H102" s="24" t="s">
        <v>1122</v>
      </c>
      <c r="I102" s="69" t="str">
        <f>VLOOKUP(H102,Sheet4!A:B,2,)</f>
        <v>Gloss Black LIP </v>
      </c>
      <c r="J102" s="43">
        <f>4-4+4-4+8-4-4</f>
        <v>0</v>
      </c>
    </row>
    <row r="103" s="6" customFormat="1" ht="57" customHeight="1" spans="1:10">
      <c r="A103" s="18"/>
      <c r="B103" s="19" t="s">
        <v>1635</v>
      </c>
      <c r="C103" s="20" t="s">
        <v>1574</v>
      </c>
      <c r="D103" s="20" t="s">
        <v>225</v>
      </c>
      <c r="E103" s="20" t="s">
        <v>218</v>
      </c>
      <c r="F103" s="20">
        <v>50</v>
      </c>
      <c r="G103" s="20">
        <v>71.56</v>
      </c>
      <c r="H103" s="20" t="s">
        <v>439</v>
      </c>
      <c r="I103" s="66" t="str">
        <f>VLOOKUP(H103,Sheet4!A:B,2,)</f>
        <v>Gunmetal Machine Face</v>
      </c>
      <c r="J103" s="42">
        <f>4-4+4+4-4-4</f>
        <v>0</v>
      </c>
    </row>
    <row r="104" s="6" customFormat="1" ht="57" customHeight="1" spans="1:10">
      <c r="A104" s="22"/>
      <c r="B104" s="23" t="s">
        <v>1636</v>
      </c>
      <c r="C104" s="24" t="s">
        <v>1574</v>
      </c>
      <c r="D104" s="24" t="s">
        <v>556</v>
      </c>
      <c r="E104" s="24" t="s">
        <v>218</v>
      </c>
      <c r="F104" s="24">
        <v>50</v>
      </c>
      <c r="G104" s="24">
        <v>71.56</v>
      </c>
      <c r="H104" s="24" t="s">
        <v>439</v>
      </c>
      <c r="I104" s="69" t="str">
        <f>VLOOKUP(H104,Sheet4!A:B,2,)</f>
        <v>Gunmetal Machine Face</v>
      </c>
      <c r="J104" s="43">
        <f>8-4-4</f>
        <v>0</v>
      </c>
    </row>
    <row r="105" s="6" customFormat="1" ht="33" customHeight="1" spans="1:10">
      <c r="A105" s="44"/>
      <c r="B105" s="19" t="s">
        <v>1637</v>
      </c>
      <c r="C105" s="20">
        <v>718</v>
      </c>
      <c r="D105" s="20" t="s">
        <v>23</v>
      </c>
      <c r="E105" s="20" t="s">
        <v>218</v>
      </c>
      <c r="F105" s="20">
        <v>45</v>
      </c>
      <c r="G105" s="20">
        <v>71.56</v>
      </c>
      <c r="H105" s="20" t="s">
        <v>16</v>
      </c>
      <c r="I105" s="66" t="str">
        <f>VLOOKUP(H105,Sheet4!A:B,2,)</f>
        <v>GLOSS BLACK</v>
      </c>
      <c r="J105" s="21">
        <f>4-2-2+2+2-2-2+2+2-2-2+2-2</f>
        <v>0</v>
      </c>
    </row>
    <row r="106" s="6" customFormat="1" ht="33" customHeight="1" spans="1:10">
      <c r="A106" s="44"/>
      <c r="B106" s="19" t="s">
        <v>1637</v>
      </c>
      <c r="C106" s="20">
        <v>718</v>
      </c>
      <c r="D106" s="20" t="s">
        <v>482</v>
      </c>
      <c r="E106" s="20" t="s">
        <v>218</v>
      </c>
      <c r="F106" s="20">
        <v>45</v>
      </c>
      <c r="G106" s="20">
        <v>71.56</v>
      </c>
      <c r="H106" s="20" t="s">
        <v>16</v>
      </c>
      <c r="I106" s="66" t="str">
        <f>VLOOKUP(H106,Sheet4!A:B,2,)</f>
        <v>GLOSS BLACK</v>
      </c>
      <c r="J106" s="21">
        <f>4-2-2+2+2-2-2+2+2-2-2+2-2</f>
        <v>0</v>
      </c>
    </row>
    <row r="107" s="6" customFormat="1" ht="33" customHeight="1" spans="1:10">
      <c r="A107" s="44"/>
      <c r="B107" s="19" t="s">
        <v>1638</v>
      </c>
      <c r="C107" s="20">
        <v>718</v>
      </c>
      <c r="D107" s="20" t="s">
        <v>29</v>
      </c>
      <c r="E107" s="20" t="s">
        <v>218</v>
      </c>
      <c r="F107" s="20">
        <v>45</v>
      </c>
      <c r="G107" s="20">
        <v>71.56</v>
      </c>
      <c r="H107" s="20" t="s">
        <v>16</v>
      </c>
      <c r="I107" s="66" t="str">
        <f>VLOOKUP(H107,Sheet4!A:B,2,)</f>
        <v>GLOSS BLACK</v>
      </c>
      <c r="J107" s="21">
        <f>4-2-2+2-2+2-2+4-2+2-2-2+4-2</f>
        <v>2</v>
      </c>
    </row>
    <row r="108" s="6" customFormat="1" ht="33" customHeight="1" spans="1:10">
      <c r="A108" s="46"/>
      <c r="B108" s="23" t="s">
        <v>1638</v>
      </c>
      <c r="C108" s="24">
        <v>718</v>
      </c>
      <c r="D108" s="24" t="s">
        <v>225</v>
      </c>
      <c r="E108" s="24" t="s">
        <v>218</v>
      </c>
      <c r="F108" s="24">
        <v>45</v>
      </c>
      <c r="G108" s="24">
        <v>71.56</v>
      </c>
      <c r="H108" s="24" t="s">
        <v>16</v>
      </c>
      <c r="I108" s="69" t="str">
        <f>VLOOKUP(H108,Sheet4!A:B,2,)</f>
        <v>GLOSS BLACK</v>
      </c>
      <c r="J108" s="25">
        <f>4-2-2+2-2+2-2+4-2+2-2-2+4-2</f>
        <v>2</v>
      </c>
    </row>
    <row r="109" s="6" customFormat="1" ht="60" customHeight="1" spans="1:10">
      <c r="A109" s="131"/>
      <c r="B109" s="19" t="s">
        <v>1639</v>
      </c>
      <c r="C109" s="20">
        <v>718</v>
      </c>
      <c r="D109" s="65" t="s">
        <v>29</v>
      </c>
      <c r="E109" s="65" t="s">
        <v>218</v>
      </c>
      <c r="F109" s="65">
        <v>45</v>
      </c>
      <c r="G109" s="65">
        <v>71.56</v>
      </c>
      <c r="H109" s="65" t="s">
        <v>87</v>
      </c>
      <c r="I109" s="95" t="str">
        <f>VLOOKUP(H109,Sheet4!A:B,2,)</f>
        <v>Gunmetal Machine Face</v>
      </c>
      <c r="J109" s="42">
        <f t="shared" ref="J109:J112" si="2">2-2</f>
        <v>0</v>
      </c>
    </row>
    <row r="110" s="6" customFormat="1" ht="60" customHeight="1" spans="1:10">
      <c r="A110" s="132"/>
      <c r="B110" s="23" t="s">
        <v>1639</v>
      </c>
      <c r="C110" s="24">
        <v>718</v>
      </c>
      <c r="D110" s="68" t="s">
        <v>878</v>
      </c>
      <c r="E110" s="68" t="s">
        <v>218</v>
      </c>
      <c r="F110" s="68">
        <v>45</v>
      </c>
      <c r="G110" s="68">
        <v>71.56</v>
      </c>
      <c r="H110" s="68" t="s">
        <v>87</v>
      </c>
      <c r="I110" s="98" t="str">
        <f>VLOOKUP(H110,Sheet4!A:B,2,)</f>
        <v>Gunmetal Machine Face</v>
      </c>
      <c r="J110" s="43">
        <f t="shared" si="2"/>
        <v>0</v>
      </c>
    </row>
    <row r="111" s="6" customFormat="1" ht="54" customHeight="1" spans="1:10">
      <c r="A111" s="18"/>
      <c r="B111" s="19" t="s">
        <v>1640</v>
      </c>
      <c r="C111" s="20" t="s">
        <v>1567</v>
      </c>
      <c r="D111" s="20" t="s">
        <v>39</v>
      </c>
      <c r="E111" s="20" t="s">
        <v>218</v>
      </c>
      <c r="F111" s="20">
        <v>68</v>
      </c>
      <c r="G111" s="20">
        <v>71.56</v>
      </c>
      <c r="H111" s="20" t="s">
        <v>16</v>
      </c>
      <c r="I111" s="66" t="str">
        <f>VLOOKUP(H111,Sheet4!A:B,2,)</f>
        <v>GLOSS BLACK</v>
      </c>
      <c r="J111" s="21">
        <f>8+2-4-2-2+2</f>
        <v>4</v>
      </c>
    </row>
    <row r="112" s="6" customFormat="1" ht="54" customHeight="1" spans="1:10">
      <c r="A112" s="18"/>
      <c r="B112" s="19" t="s">
        <v>1640</v>
      </c>
      <c r="C112" s="20" t="s">
        <v>1567</v>
      </c>
      <c r="D112" s="20" t="s">
        <v>1641</v>
      </c>
      <c r="E112" s="20" t="s">
        <v>218</v>
      </c>
      <c r="F112" s="20">
        <v>65</v>
      </c>
      <c r="G112" s="20">
        <v>71.56</v>
      </c>
      <c r="H112" s="20" t="s">
        <v>16</v>
      </c>
      <c r="I112" s="66" t="str">
        <f>VLOOKUP(H112,Sheet4!A:B,2,)</f>
        <v>GLOSS BLACK</v>
      </c>
      <c r="J112" s="21">
        <f>8+2-4-1-2-2+2</f>
        <v>3</v>
      </c>
    </row>
    <row r="113" s="6" customFormat="1" ht="54" customHeight="1" spans="1:10">
      <c r="A113" s="18"/>
      <c r="B113" s="19" t="s">
        <v>1642</v>
      </c>
      <c r="C113" s="20" t="s">
        <v>1567</v>
      </c>
      <c r="D113" s="20" t="s">
        <v>39</v>
      </c>
      <c r="E113" s="20" t="s">
        <v>218</v>
      </c>
      <c r="F113" s="20">
        <v>68</v>
      </c>
      <c r="G113" s="20">
        <v>71.56</v>
      </c>
      <c r="H113" s="20" t="s">
        <v>317</v>
      </c>
      <c r="I113" s="66" t="str">
        <f>VLOOKUP(H113,Sheet4!A:B,2,)</f>
        <v>MATTE GREY</v>
      </c>
      <c r="J113" s="21">
        <f>6-2-2-2+2+4-2-4+10-2-2-2</f>
        <v>4</v>
      </c>
    </row>
    <row r="114" s="6" customFormat="1" ht="54" customHeight="1" spans="1:10">
      <c r="A114" s="18"/>
      <c r="B114" s="19" t="s">
        <v>1642</v>
      </c>
      <c r="C114" s="20" t="s">
        <v>1567</v>
      </c>
      <c r="D114" s="20" t="s">
        <v>1641</v>
      </c>
      <c r="E114" s="20" t="s">
        <v>218</v>
      </c>
      <c r="F114" s="20">
        <v>65</v>
      </c>
      <c r="G114" s="20">
        <v>71.56</v>
      </c>
      <c r="H114" s="20" t="s">
        <v>317</v>
      </c>
      <c r="I114" s="66" t="str">
        <f>VLOOKUP(H114,Sheet4!A:B,2,)</f>
        <v>MATTE GREY</v>
      </c>
      <c r="J114" s="21">
        <f>6-2-2-2+2+4-2-4+10-2-2-2</f>
        <v>4</v>
      </c>
    </row>
    <row r="115" s="6" customFormat="1" ht="54" customHeight="1" spans="1:10">
      <c r="A115" s="18"/>
      <c r="B115" s="19" t="s">
        <v>1643</v>
      </c>
      <c r="C115" s="20" t="s">
        <v>1567</v>
      </c>
      <c r="D115" s="20" t="s">
        <v>39</v>
      </c>
      <c r="E115" s="20" t="s">
        <v>218</v>
      </c>
      <c r="F115" s="20">
        <v>68</v>
      </c>
      <c r="G115" s="20">
        <v>71.56</v>
      </c>
      <c r="H115" s="20" t="s">
        <v>1644</v>
      </c>
      <c r="I115" s="66" t="str">
        <f>VLOOKUP(H115,Sheet4!A:B,2,)</f>
        <v>MATTE GOLD </v>
      </c>
      <c r="J115" s="21">
        <f>6-2-2-2+4+6-2-2-2</f>
        <v>4</v>
      </c>
    </row>
    <row r="116" s="6" customFormat="1" ht="54" customHeight="1" spans="1:10">
      <c r="A116" s="18"/>
      <c r="B116" s="19" t="s">
        <v>1643</v>
      </c>
      <c r="C116" s="20" t="s">
        <v>1567</v>
      </c>
      <c r="D116" s="20" t="s">
        <v>1641</v>
      </c>
      <c r="E116" s="20" t="s">
        <v>218</v>
      </c>
      <c r="F116" s="20">
        <v>65</v>
      </c>
      <c r="G116" s="20">
        <v>71.56</v>
      </c>
      <c r="H116" s="20" t="s">
        <v>1644</v>
      </c>
      <c r="I116" s="66" t="str">
        <f>VLOOKUP(H116,Sheet4!A:B,2,)</f>
        <v>MATTE GOLD </v>
      </c>
      <c r="J116" s="21">
        <f>6-2-2-2+4+6-2-2-2</f>
        <v>4</v>
      </c>
    </row>
    <row r="117" s="63" customFormat="1" ht="41" customHeight="1" spans="1:10">
      <c r="A117" s="52"/>
      <c r="B117" s="53" t="s">
        <v>1645</v>
      </c>
      <c r="C117" s="54" t="s">
        <v>1567</v>
      </c>
      <c r="D117" s="54" t="s">
        <v>225</v>
      </c>
      <c r="E117" s="54" t="s">
        <v>218</v>
      </c>
      <c r="F117" s="54">
        <v>68</v>
      </c>
      <c r="G117" s="54">
        <v>71.56</v>
      </c>
      <c r="H117" s="54" t="s">
        <v>21</v>
      </c>
      <c r="I117" s="87" t="str">
        <f>VLOOKUP(H117,Sheet4!A:B,2,)</f>
        <v>Black Machine Face</v>
      </c>
      <c r="J117" s="55">
        <f>2-2+2+2-2-2</f>
        <v>0</v>
      </c>
    </row>
    <row r="118" s="63" customFormat="1" ht="41" customHeight="1" spans="1:10">
      <c r="A118" s="44"/>
      <c r="B118" s="19" t="s">
        <v>1646</v>
      </c>
      <c r="C118" s="20" t="s">
        <v>1567</v>
      </c>
      <c r="D118" s="20" t="s">
        <v>994</v>
      </c>
      <c r="E118" s="20" t="s">
        <v>218</v>
      </c>
      <c r="F118" s="20">
        <v>65</v>
      </c>
      <c r="G118" s="20">
        <v>71.56</v>
      </c>
      <c r="H118" s="20" t="s">
        <v>21</v>
      </c>
      <c r="I118" s="66" t="str">
        <f>VLOOKUP(H118,Sheet4!A:B,2,)</f>
        <v>Black Machine Face</v>
      </c>
      <c r="J118" s="42">
        <f>2-2+2+2-2-2</f>
        <v>0</v>
      </c>
    </row>
    <row r="119" s="63" customFormat="1" ht="41" customHeight="1" spans="1:10">
      <c r="A119" s="44"/>
      <c r="B119" s="19" t="s">
        <v>1647</v>
      </c>
      <c r="C119" s="20" t="s">
        <v>1567</v>
      </c>
      <c r="D119" s="20" t="s">
        <v>39</v>
      </c>
      <c r="E119" s="20" t="s">
        <v>218</v>
      </c>
      <c r="F119" s="20">
        <v>68</v>
      </c>
      <c r="G119" s="20">
        <v>71.56</v>
      </c>
      <c r="H119" s="20" t="s">
        <v>21</v>
      </c>
      <c r="I119" s="66" t="str">
        <f>VLOOKUP(H119,Sheet4!A:B,2,)</f>
        <v>Black Machine Face</v>
      </c>
      <c r="J119" s="42">
        <f>4+4-2-2-2-2+4+2-2-2-2+6-2+2-2-2+2-2+2-2-2+4-2-2+4-2</f>
        <v>2</v>
      </c>
    </row>
    <row r="120" s="63" customFormat="1" ht="41" customHeight="1" spans="1:10">
      <c r="A120" s="44"/>
      <c r="B120" s="19" t="s">
        <v>1648</v>
      </c>
      <c r="C120" s="20" t="s">
        <v>1567</v>
      </c>
      <c r="D120" s="20" t="s">
        <v>1641</v>
      </c>
      <c r="E120" s="20" t="s">
        <v>218</v>
      </c>
      <c r="F120" s="20">
        <v>65</v>
      </c>
      <c r="G120" s="20">
        <v>71.56</v>
      </c>
      <c r="H120" s="20" t="s">
        <v>21</v>
      </c>
      <c r="I120" s="66" t="str">
        <f>VLOOKUP(H120,Sheet4!A:B,2,)</f>
        <v>Black Machine Face</v>
      </c>
      <c r="J120" s="42">
        <f>4+4-2-2-2-2+4+2-2-2-2+6-2+2-2-2+2-2+2-2-2+4-2-2+4-2</f>
        <v>2</v>
      </c>
    </row>
    <row r="121" s="63" customFormat="1" ht="41" customHeight="1" spans="1:10">
      <c r="A121" s="44"/>
      <c r="B121" s="19" t="s">
        <v>1649</v>
      </c>
      <c r="C121" s="20" t="s">
        <v>1567</v>
      </c>
      <c r="D121" s="20" t="s">
        <v>39</v>
      </c>
      <c r="E121" s="20" t="s">
        <v>218</v>
      </c>
      <c r="F121" s="20">
        <v>68</v>
      </c>
      <c r="G121" s="20">
        <v>71.56</v>
      </c>
      <c r="H121" s="20" t="s">
        <v>16</v>
      </c>
      <c r="I121" s="66" t="str">
        <f>VLOOKUP(H121,Sheet4!A:B,2,)</f>
        <v>GLOSS BLACK</v>
      </c>
      <c r="J121" s="42">
        <f>2-2+6-2-2-2</f>
        <v>0</v>
      </c>
    </row>
    <row r="122" s="63" customFormat="1" ht="41" customHeight="1" spans="1:10">
      <c r="A122" s="44"/>
      <c r="B122" s="19" t="s">
        <v>1650</v>
      </c>
      <c r="C122" s="20" t="s">
        <v>1567</v>
      </c>
      <c r="D122" s="20" t="s">
        <v>1641</v>
      </c>
      <c r="E122" s="20" t="s">
        <v>218</v>
      </c>
      <c r="F122" s="20">
        <v>65</v>
      </c>
      <c r="G122" s="20">
        <v>71.56</v>
      </c>
      <c r="H122" s="20" t="s">
        <v>16</v>
      </c>
      <c r="I122" s="66" t="str">
        <f>VLOOKUP(H122,Sheet4!A:B,2,)</f>
        <v>GLOSS BLACK</v>
      </c>
      <c r="J122" s="42">
        <f>2-2+6-2-2-2</f>
        <v>0</v>
      </c>
    </row>
    <row r="123" s="63" customFormat="1" ht="41" customHeight="1" spans="1:10">
      <c r="A123" s="44"/>
      <c r="B123" s="19" t="s">
        <v>1651</v>
      </c>
      <c r="C123" s="20" t="s">
        <v>1567</v>
      </c>
      <c r="D123" s="20" t="s">
        <v>39</v>
      </c>
      <c r="E123" s="20" t="s">
        <v>218</v>
      </c>
      <c r="F123" s="20">
        <v>68</v>
      </c>
      <c r="G123" s="20">
        <v>71.56</v>
      </c>
      <c r="H123" s="20" t="s">
        <v>1596</v>
      </c>
      <c r="I123" s="66" t="str">
        <f>VLOOKUP(H123,Sheet4!A:B,2,)</f>
        <v>MATTE GREY</v>
      </c>
      <c r="J123" s="42">
        <f>4+4-2-2-2-2+4-2-2+2+2-2+2-2-2+4-2-2</f>
        <v>0</v>
      </c>
    </row>
    <row r="124" s="63" customFormat="1" ht="41" customHeight="1" spans="1:10">
      <c r="A124" s="44"/>
      <c r="B124" s="19" t="s">
        <v>1651</v>
      </c>
      <c r="C124" s="20" t="s">
        <v>1567</v>
      </c>
      <c r="D124" s="20" t="s">
        <v>1641</v>
      </c>
      <c r="E124" s="20" t="s">
        <v>218</v>
      </c>
      <c r="F124" s="20">
        <v>65</v>
      </c>
      <c r="G124" s="20">
        <v>71.56</v>
      </c>
      <c r="H124" s="20" t="s">
        <v>1596</v>
      </c>
      <c r="I124" s="66" t="str">
        <f>VLOOKUP(H124,Sheet4!A:B,2,)</f>
        <v>MATTE GREY</v>
      </c>
      <c r="J124" s="42">
        <f>4+4-2-2-2-2+4-2-2+2+2-2+2-2-2+4-2-2</f>
        <v>0</v>
      </c>
    </row>
    <row r="125" s="63" customFormat="1" ht="41" customHeight="1" spans="1:10">
      <c r="A125" s="44"/>
      <c r="B125" s="19" t="s">
        <v>1652</v>
      </c>
      <c r="C125" s="20" t="s">
        <v>1567</v>
      </c>
      <c r="D125" s="20" t="s">
        <v>39</v>
      </c>
      <c r="E125" s="20" t="s">
        <v>218</v>
      </c>
      <c r="F125" s="20">
        <v>68</v>
      </c>
      <c r="G125" s="20">
        <v>71.56</v>
      </c>
      <c r="H125" s="20" t="s">
        <v>1653</v>
      </c>
      <c r="I125" s="41" t="str">
        <f>VLOOKUP(H125,Sheet4!A:B,2,)</f>
        <v>MATTE GREY Machine Face</v>
      </c>
      <c r="J125" s="42">
        <f>1+2-2+1-2+2-2+4-2-2+4-2+2-2-2+4+2-2-2</f>
        <v>2</v>
      </c>
    </row>
    <row r="126" s="63" customFormat="1" ht="41" customHeight="1" spans="1:10">
      <c r="A126" s="46"/>
      <c r="B126" s="23" t="s">
        <v>1654</v>
      </c>
      <c r="C126" s="24" t="s">
        <v>1567</v>
      </c>
      <c r="D126" s="24" t="s">
        <v>1641</v>
      </c>
      <c r="E126" s="24" t="s">
        <v>218</v>
      </c>
      <c r="F126" s="32">
        <v>65</v>
      </c>
      <c r="G126" s="24">
        <v>71.56</v>
      </c>
      <c r="H126" s="24" t="s">
        <v>1653</v>
      </c>
      <c r="I126" s="47" t="str">
        <f>VLOOKUP(H126,Sheet4!A:B,2,)</f>
        <v>MATTE GREY Machine Face</v>
      </c>
      <c r="J126" s="43">
        <f>2+2-2-2+2-2+4-2-2+4-2+2-2-2+4+1-2-2</f>
        <v>1</v>
      </c>
    </row>
    <row r="127" s="63" customFormat="1" ht="54" customHeight="1" spans="1:10">
      <c r="A127" s="44"/>
      <c r="B127" s="19" t="s">
        <v>1655</v>
      </c>
      <c r="C127" s="20" t="s">
        <v>1567</v>
      </c>
      <c r="D127" s="20" t="s">
        <v>39</v>
      </c>
      <c r="E127" s="20" t="s">
        <v>218</v>
      </c>
      <c r="F127" s="20">
        <v>68</v>
      </c>
      <c r="G127" s="20">
        <v>71.56</v>
      </c>
      <c r="H127" s="20" t="s">
        <v>16</v>
      </c>
      <c r="I127" s="66" t="str">
        <f>VLOOKUP(H127,Sheet4!A:B,2,)</f>
        <v>GLOSS BLACK</v>
      </c>
      <c r="J127" s="42">
        <f>2-2+2-2+2-2+2-2+2-2+6-2</f>
        <v>4</v>
      </c>
    </row>
    <row r="128" s="63" customFormat="1" ht="54" customHeight="1" spans="1:10">
      <c r="A128" s="46"/>
      <c r="B128" s="23" t="s">
        <v>1655</v>
      </c>
      <c r="C128" s="24" t="s">
        <v>1567</v>
      </c>
      <c r="D128" s="24" t="s">
        <v>1641</v>
      </c>
      <c r="E128" s="24" t="s">
        <v>218</v>
      </c>
      <c r="F128" s="24">
        <v>65</v>
      </c>
      <c r="G128" s="24">
        <v>71.56</v>
      </c>
      <c r="H128" s="24" t="s">
        <v>16</v>
      </c>
      <c r="I128" s="69" t="str">
        <f>VLOOKUP(H128,Sheet4!A:B,2,)</f>
        <v>GLOSS BLACK</v>
      </c>
      <c r="J128" s="43">
        <f>2-2+2-2+2-2+2-2+2-2+6-2</f>
        <v>4</v>
      </c>
    </row>
    <row r="129" s="6" customFormat="1" ht="53" customHeight="1" spans="1:10">
      <c r="A129" s="131"/>
      <c r="B129" s="19" t="s">
        <v>1656</v>
      </c>
      <c r="C129" s="20" t="s">
        <v>1567</v>
      </c>
      <c r="D129" s="65" t="s">
        <v>39</v>
      </c>
      <c r="E129" s="65" t="s">
        <v>218</v>
      </c>
      <c r="F129" s="65">
        <v>71</v>
      </c>
      <c r="G129" s="65">
        <v>71.56</v>
      </c>
      <c r="H129" s="65" t="s">
        <v>439</v>
      </c>
      <c r="I129" s="95" t="str">
        <f>VLOOKUP(H129,Sheet4!A:B,2,)</f>
        <v>Gunmetal Machine Face</v>
      </c>
      <c r="J129" s="42">
        <f>6-2</f>
        <v>4</v>
      </c>
    </row>
    <row r="130" s="6" customFormat="1" ht="60" customHeight="1" spans="1:10">
      <c r="A130" s="132"/>
      <c r="B130" s="23" t="s">
        <v>1656</v>
      </c>
      <c r="C130" s="24" t="s">
        <v>1567</v>
      </c>
      <c r="D130" s="68" t="s">
        <v>1641</v>
      </c>
      <c r="E130" s="68" t="s">
        <v>218</v>
      </c>
      <c r="F130" s="68">
        <v>69</v>
      </c>
      <c r="G130" s="68">
        <v>71.56</v>
      </c>
      <c r="H130" s="68" t="s">
        <v>439</v>
      </c>
      <c r="I130" s="98" t="str">
        <f>VLOOKUP(H130,Sheet4!A:B,2,)</f>
        <v>Gunmetal Machine Face</v>
      </c>
      <c r="J130" s="43">
        <f>6-2</f>
        <v>4</v>
      </c>
    </row>
    <row r="131" s="6" customFormat="1" ht="33" customHeight="1" spans="1:10">
      <c r="A131" s="44"/>
      <c r="B131" s="19" t="s">
        <v>1657</v>
      </c>
      <c r="C131" s="20" t="s">
        <v>1567</v>
      </c>
      <c r="D131" s="20" t="s">
        <v>225</v>
      </c>
      <c r="E131" s="20" t="s">
        <v>218</v>
      </c>
      <c r="F131" s="20" t="s">
        <v>1658</v>
      </c>
      <c r="G131" s="20">
        <v>71.56</v>
      </c>
      <c r="H131" s="20" t="s">
        <v>21</v>
      </c>
      <c r="I131" s="66" t="str">
        <f>VLOOKUP(H131,Sheet4!A:B,2,)</f>
        <v>Black Machine Face</v>
      </c>
      <c r="J131" s="42">
        <f>4-2-2+2-2</f>
        <v>0</v>
      </c>
    </row>
    <row r="132" s="6" customFormat="1" ht="33" customHeight="1" spans="1:10">
      <c r="A132" s="44"/>
      <c r="B132" s="19" t="s">
        <v>1657</v>
      </c>
      <c r="C132" s="20" t="s">
        <v>1567</v>
      </c>
      <c r="D132" s="20" t="s">
        <v>994</v>
      </c>
      <c r="E132" s="20" t="s">
        <v>218</v>
      </c>
      <c r="F132" s="20">
        <v>65</v>
      </c>
      <c r="G132" s="20">
        <v>71.56</v>
      </c>
      <c r="H132" s="20" t="s">
        <v>21</v>
      </c>
      <c r="I132" s="66" t="str">
        <f>VLOOKUP(H132,Sheet4!A:B,2,)</f>
        <v>Black Machine Face</v>
      </c>
      <c r="J132" s="42">
        <f>4-2-2+2-2</f>
        <v>0</v>
      </c>
    </row>
    <row r="133" s="6" customFormat="1" ht="33" customHeight="1" spans="1:10">
      <c r="A133" s="44"/>
      <c r="B133" s="19" t="s">
        <v>1659</v>
      </c>
      <c r="C133" s="20" t="s">
        <v>1567</v>
      </c>
      <c r="D133" s="20" t="s">
        <v>39</v>
      </c>
      <c r="E133" s="20" t="s">
        <v>218</v>
      </c>
      <c r="F133" s="20">
        <v>68</v>
      </c>
      <c r="G133" s="20">
        <v>71.56</v>
      </c>
      <c r="H133" s="20" t="s">
        <v>21</v>
      </c>
      <c r="I133" s="66" t="str">
        <f>VLOOKUP(H133,Sheet4!A:B,2,)</f>
        <v>Black Machine Face</v>
      </c>
      <c r="J133" s="42">
        <f>2-2+4-1-1-2+2-2+2-2</f>
        <v>0</v>
      </c>
    </row>
    <row r="134" s="6" customFormat="1" ht="33" customHeight="1" spans="1:10">
      <c r="A134" s="46"/>
      <c r="B134" s="23" t="s">
        <v>1659</v>
      </c>
      <c r="C134" s="24" t="s">
        <v>1567</v>
      </c>
      <c r="D134" s="24" t="s">
        <v>1641</v>
      </c>
      <c r="E134" s="24" t="s">
        <v>218</v>
      </c>
      <c r="F134" s="24">
        <v>65</v>
      </c>
      <c r="G134" s="24">
        <v>71.56</v>
      </c>
      <c r="H134" s="24" t="s">
        <v>21</v>
      </c>
      <c r="I134" s="69" t="str">
        <f>VLOOKUP(H134,Sheet4!A:B,2,)</f>
        <v>Black Machine Face</v>
      </c>
      <c r="J134" s="43">
        <f>2-2+4-2+2-2-2</f>
        <v>0</v>
      </c>
    </row>
    <row r="135" s="6" customFormat="1" ht="29" customHeight="1" spans="1:10">
      <c r="A135" s="44"/>
      <c r="B135" s="19" t="s">
        <v>1660</v>
      </c>
      <c r="C135" s="20" t="s">
        <v>1567</v>
      </c>
      <c r="D135" s="20" t="s">
        <v>225</v>
      </c>
      <c r="E135" s="20" t="s">
        <v>218</v>
      </c>
      <c r="F135" s="20">
        <v>61</v>
      </c>
      <c r="G135" s="20">
        <v>71.56</v>
      </c>
      <c r="H135" s="20" t="s">
        <v>87</v>
      </c>
      <c r="I135" s="66" t="str">
        <f>VLOOKUP(H135,Sheet4!A:B,2,)</f>
        <v>Gunmetal Machine Face</v>
      </c>
      <c r="J135" s="21">
        <v>2</v>
      </c>
    </row>
    <row r="136" s="6" customFormat="1" ht="29" customHeight="1" spans="1:10">
      <c r="A136" s="44"/>
      <c r="B136" s="19" t="s">
        <v>1660</v>
      </c>
      <c r="C136" s="20" t="s">
        <v>1567</v>
      </c>
      <c r="D136" s="20" t="s">
        <v>994</v>
      </c>
      <c r="E136" s="20" t="s">
        <v>218</v>
      </c>
      <c r="F136" s="20">
        <v>65</v>
      </c>
      <c r="G136" s="20">
        <v>71.56</v>
      </c>
      <c r="H136" s="20" t="s">
        <v>87</v>
      </c>
      <c r="I136" s="66" t="str">
        <f>VLOOKUP(H136,Sheet4!A:B,2,)</f>
        <v>Gunmetal Machine Face</v>
      </c>
      <c r="J136" s="21">
        <v>2</v>
      </c>
    </row>
    <row r="137" s="6" customFormat="1" ht="29" customHeight="1" spans="1:10">
      <c r="A137" s="44"/>
      <c r="B137" s="19" t="s">
        <v>1661</v>
      </c>
      <c r="C137" s="20" t="s">
        <v>1567</v>
      </c>
      <c r="D137" s="20" t="s">
        <v>39</v>
      </c>
      <c r="E137" s="20" t="s">
        <v>218</v>
      </c>
      <c r="F137" s="20">
        <v>68</v>
      </c>
      <c r="G137" s="20">
        <v>71.56</v>
      </c>
      <c r="H137" s="20" t="s">
        <v>87</v>
      </c>
      <c r="I137" s="66" t="str">
        <f>VLOOKUP(H137,Sheet4!A:B,2,)</f>
        <v>Gunmetal Machine Face</v>
      </c>
      <c r="J137" s="42">
        <v>6</v>
      </c>
    </row>
    <row r="138" s="6" customFormat="1" ht="29" customHeight="1" spans="1:10">
      <c r="A138" s="46"/>
      <c r="B138" s="23" t="s">
        <v>1661</v>
      </c>
      <c r="C138" s="24" t="s">
        <v>1567</v>
      </c>
      <c r="D138" s="24" t="s">
        <v>1641</v>
      </c>
      <c r="E138" s="24" t="s">
        <v>218</v>
      </c>
      <c r="F138" s="24">
        <v>65</v>
      </c>
      <c r="G138" s="24">
        <v>71.56</v>
      </c>
      <c r="H138" s="24" t="s">
        <v>87</v>
      </c>
      <c r="I138" s="69" t="str">
        <f>VLOOKUP(H138,Sheet4!A:B,2,)</f>
        <v>Gunmetal Machine Face</v>
      </c>
      <c r="J138" s="43">
        <v>6</v>
      </c>
    </row>
    <row r="139" s="6" customFormat="1" ht="24" customHeight="1" spans="1:10">
      <c r="A139" s="18"/>
      <c r="B139" s="19" t="s">
        <v>1662</v>
      </c>
      <c r="C139" s="20" t="s">
        <v>1564</v>
      </c>
      <c r="D139" s="65" t="s">
        <v>44</v>
      </c>
      <c r="E139" s="65" t="s">
        <v>208</v>
      </c>
      <c r="F139" s="65">
        <v>26</v>
      </c>
      <c r="G139" s="65">
        <v>66.45</v>
      </c>
      <c r="H139" s="65" t="s">
        <v>87</v>
      </c>
      <c r="I139" s="95" t="str">
        <f>VLOOKUP(H139,Sheet4!A:B,2,)</f>
        <v>Gunmetal Machine Face</v>
      </c>
      <c r="J139" s="42">
        <f>2-2+2-2+2-2+2+1</f>
        <v>3</v>
      </c>
    </row>
    <row r="140" s="6" customFormat="1" ht="24" customHeight="1" spans="1:10">
      <c r="A140" s="18"/>
      <c r="B140" s="19" t="s">
        <v>1662</v>
      </c>
      <c r="C140" s="20" t="s">
        <v>1564</v>
      </c>
      <c r="D140" s="65" t="s">
        <v>489</v>
      </c>
      <c r="E140" s="65" t="s">
        <v>208</v>
      </c>
      <c r="F140" s="65">
        <v>19</v>
      </c>
      <c r="G140" s="65">
        <v>66.45</v>
      </c>
      <c r="H140" s="65" t="s">
        <v>87</v>
      </c>
      <c r="I140" s="95" t="str">
        <f>VLOOKUP(H140,Sheet4!A:B,2,)</f>
        <v>Gunmetal Machine Face</v>
      </c>
      <c r="J140" s="42">
        <f>2-2+2-2+2-2+2+2</f>
        <v>4</v>
      </c>
    </row>
    <row r="141" s="6" customFormat="1" ht="24" customHeight="1" spans="1:10">
      <c r="A141" s="18"/>
      <c r="B141" s="19" t="s">
        <v>1663</v>
      </c>
      <c r="C141" s="20" t="s">
        <v>1564</v>
      </c>
      <c r="D141" s="65" t="s">
        <v>1664</v>
      </c>
      <c r="E141" s="65" t="s">
        <v>208</v>
      </c>
      <c r="F141" s="65">
        <v>26</v>
      </c>
      <c r="G141" s="65">
        <v>66.45</v>
      </c>
      <c r="H141" s="65" t="s">
        <v>102</v>
      </c>
      <c r="I141" s="95" t="str">
        <f>VLOOKUP(H141,Sheet4!A:B,2,)</f>
        <v>MATTE BLACK</v>
      </c>
      <c r="J141" s="42">
        <f>2-2+2-2</f>
        <v>0</v>
      </c>
    </row>
    <row r="142" s="6" customFormat="1" ht="24" customHeight="1" spans="1:10">
      <c r="A142" s="18"/>
      <c r="B142" s="19" t="s">
        <v>1663</v>
      </c>
      <c r="C142" s="20" t="s">
        <v>1564</v>
      </c>
      <c r="D142" s="65" t="s">
        <v>1665</v>
      </c>
      <c r="E142" s="65" t="s">
        <v>208</v>
      </c>
      <c r="F142" s="65">
        <v>19</v>
      </c>
      <c r="G142" s="65">
        <v>66.45</v>
      </c>
      <c r="H142" s="65" t="s">
        <v>102</v>
      </c>
      <c r="I142" s="95" t="str">
        <f>VLOOKUP(H142,Sheet4!A:B,2,)</f>
        <v>MATTE BLACK</v>
      </c>
      <c r="J142" s="42">
        <f>2-2+2-2</f>
        <v>0</v>
      </c>
    </row>
    <row r="143" s="6" customFormat="1" ht="24" customHeight="1" spans="1:10">
      <c r="A143" s="18"/>
      <c r="B143" s="19" t="s">
        <v>1666</v>
      </c>
      <c r="C143" s="20" t="s">
        <v>1564</v>
      </c>
      <c r="D143" s="65" t="s">
        <v>1664</v>
      </c>
      <c r="E143" s="65" t="s">
        <v>208</v>
      </c>
      <c r="F143" s="65">
        <v>26</v>
      </c>
      <c r="G143" s="65">
        <v>66.45</v>
      </c>
      <c r="H143" s="65" t="s">
        <v>87</v>
      </c>
      <c r="I143" s="95" t="str">
        <f>VLOOKUP(H143,Sheet4!A:B,2,)</f>
        <v>Gunmetal Machine Face</v>
      </c>
      <c r="J143" s="42">
        <f>2-2+1-1+2-2+2-2+2-2+4-2-2</f>
        <v>0</v>
      </c>
    </row>
    <row r="144" s="6" customFormat="1" ht="24" customHeight="1" spans="1:10">
      <c r="A144" s="18"/>
      <c r="B144" s="19" t="s">
        <v>1666</v>
      </c>
      <c r="C144" s="20" t="s">
        <v>1564</v>
      </c>
      <c r="D144" s="65" t="s">
        <v>1665</v>
      </c>
      <c r="E144" s="65" t="s">
        <v>208</v>
      </c>
      <c r="F144" s="65">
        <v>19</v>
      </c>
      <c r="G144" s="65">
        <v>66.45</v>
      </c>
      <c r="H144" s="65" t="s">
        <v>87</v>
      </c>
      <c r="I144" s="95" t="str">
        <f>VLOOKUP(H144,Sheet4!A:B,2,)</f>
        <v>Gunmetal Machine Face</v>
      </c>
      <c r="J144" s="42">
        <f>2-2+2-2+2-2+2-2+4-2-2</f>
        <v>0</v>
      </c>
    </row>
    <row r="145" s="6" customFormat="1" ht="24" customHeight="1" spans="1:10">
      <c r="A145" s="18"/>
      <c r="B145" s="19" t="s">
        <v>1667</v>
      </c>
      <c r="C145" s="20" t="s">
        <v>1564</v>
      </c>
      <c r="D145" s="65" t="s">
        <v>1668</v>
      </c>
      <c r="E145" s="65" t="s">
        <v>208</v>
      </c>
      <c r="F145" s="65">
        <v>26</v>
      </c>
      <c r="G145" s="65">
        <v>66.45</v>
      </c>
      <c r="H145" s="65" t="s">
        <v>439</v>
      </c>
      <c r="I145" s="95" t="str">
        <f>VLOOKUP(H145,Sheet4!A:B,2,)</f>
        <v>Gunmetal Machine Face</v>
      </c>
      <c r="J145" s="42">
        <v>2</v>
      </c>
    </row>
    <row r="146" s="6" customFormat="1" ht="24" customHeight="1" spans="1:10">
      <c r="A146" s="18"/>
      <c r="B146" s="19" t="s">
        <v>1667</v>
      </c>
      <c r="C146" s="20" t="s">
        <v>1564</v>
      </c>
      <c r="D146" s="65" t="s">
        <v>1669</v>
      </c>
      <c r="E146" s="65" t="s">
        <v>208</v>
      </c>
      <c r="F146" s="65">
        <v>19</v>
      </c>
      <c r="G146" s="65">
        <v>66.45</v>
      </c>
      <c r="H146" s="65" t="s">
        <v>439</v>
      </c>
      <c r="I146" s="95" t="str">
        <f>VLOOKUP(H146,Sheet4!A:B,2,)</f>
        <v>Gunmetal Machine Face</v>
      </c>
      <c r="J146" s="42">
        <v>2</v>
      </c>
    </row>
    <row r="147" s="6" customFormat="1" ht="24" customHeight="1" spans="1:10">
      <c r="A147" s="18"/>
      <c r="B147" s="19" t="s">
        <v>1670</v>
      </c>
      <c r="C147" s="20" t="s">
        <v>1564</v>
      </c>
      <c r="D147" s="65" t="s">
        <v>1668</v>
      </c>
      <c r="E147" s="65" t="s">
        <v>208</v>
      </c>
      <c r="F147" s="65">
        <v>26</v>
      </c>
      <c r="G147" s="65">
        <v>66.45</v>
      </c>
      <c r="H147" s="65" t="s">
        <v>102</v>
      </c>
      <c r="I147" s="95" t="str">
        <f>VLOOKUP(H147,Sheet4!A:B,2,)</f>
        <v>MATTE BLACK</v>
      </c>
      <c r="J147" s="42">
        <f>2+2-2-2+2</f>
        <v>2</v>
      </c>
    </row>
    <row r="148" s="6" customFormat="1" ht="24" customHeight="1" spans="1:10">
      <c r="A148" s="22"/>
      <c r="B148" s="23" t="s">
        <v>1670</v>
      </c>
      <c r="C148" s="24" t="s">
        <v>1564</v>
      </c>
      <c r="D148" s="68" t="s">
        <v>1669</v>
      </c>
      <c r="E148" s="68" t="s">
        <v>208</v>
      </c>
      <c r="F148" s="68">
        <v>19</v>
      </c>
      <c r="G148" s="68">
        <v>66.45</v>
      </c>
      <c r="H148" s="68" t="s">
        <v>102</v>
      </c>
      <c r="I148" s="98" t="str">
        <f>VLOOKUP(H148,Sheet4!A:B,2,)</f>
        <v>MATTE BLACK</v>
      </c>
      <c r="J148" s="43">
        <f>2+2-2-2+2</f>
        <v>2</v>
      </c>
    </row>
    <row r="149" s="6" customFormat="1" ht="33" customHeight="1" spans="1:10">
      <c r="A149" s="131"/>
      <c r="B149" s="19" t="s">
        <v>1671</v>
      </c>
      <c r="C149" s="20" t="s">
        <v>1564</v>
      </c>
      <c r="D149" s="65" t="s">
        <v>19</v>
      </c>
      <c r="E149" s="65" t="s">
        <v>208</v>
      </c>
      <c r="F149" s="65">
        <v>26</v>
      </c>
      <c r="G149" s="65">
        <v>66.45</v>
      </c>
      <c r="H149" s="65" t="s">
        <v>21</v>
      </c>
      <c r="I149" s="95" t="str">
        <f>VLOOKUP(H149,Sheet4!A:B,2,)</f>
        <v>Black Machine Face</v>
      </c>
      <c r="J149" s="42">
        <f>2-2</f>
        <v>0</v>
      </c>
    </row>
    <row r="150" s="6" customFormat="1" ht="33" customHeight="1" spans="1:10">
      <c r="A150" s="131"/>
      <c r="B150" s="19" t="s">
        <v>1671</v>
      </c>
      <c r="C150" s="20" t="s">
        <v>1564</v>
      </c>
      <c r="D150" s="65" t="s">
        <v>878</v>
      </c>
      <c r="E150" s="65" t="s">
        <v>208</v>
      </c>
      <c r="F150" s="65">
        <v>19</v>
      </c>
      <c r="G150" s="65">
        <v>66.45</v>
      </c>
      <c r="H150" s="65" t="s">
        <v>21</v>
      </c>
      <c r="I150" s="95" t="str">
        <f>VLOOKUP(H150,Sheet4!A:B,2,)</f>
        <v>Black Machine Face</v>
      </c>
      <c r="J150" s="42">
        <f>2-2</f>
        <v>0</v>
      </c>
    </row>
    <row r="151" s="6" customFormat="1" ht="33" customHeight="1" spans="1:10">
      <c r="A151" s="131"/>
      <c r="B151" s="19" t="s">
        <v>1672</v>
      </c>
      <c r="C151" s="20" t="s">
        <v>1564</v>
      </c>
      <c r="D151" s="65" t="s">
        <v>39</v>
      </c>
      <c r="E151" s="65" t="s">
        <v>208</v>
      </c>
      <c r="F151" s="65">
        <v>26</v>
      </c>
      <c r="G151" s="65">
        <v>66.45</v>
      </c>
      <c r="H151" s="65" t="s">
        <v>21</v>
      </c>
      <c r="I151" s="95" t="str">
        <f>VLOOKUP(H151,Sheet4!A:B,2,)</f>
        <v>Black Machine Face</v>
      </c>
      <c r="J151" s="42">
        <f>2-2+2-2+2-2</f>
        <v>0</v>
      </c>
    </row>
    <row r="152" s="6" customFormat="1" ht="33" customHeight="1" spans="1:10">
      <c r="A152" s="132"/>
      <c r="B152" s="23" t="s">
        <v>1672</v>
      </c>
      <c r="C152" s="24" t="s">
        <v>1564</v>
      </c>
      <c r="D152" s="68" t="s">
        <v>556</v>
      </c>
      <c r="E152" s="68" t="s">
        <v>208</v>
      </c>
      <c r="F152" s="68">
        <v>19</v>
      </c>
      <c r="G152" s="68">
        <v>66.45</v>
      </c>
      <c r="H152" s="68" t="s">
        <v>21</v>
      </c>
      <c r="I152" s="98" t="str">
        <f>VLOOKUP(H152,Sheet4!A:B,2,)</f>
        <v>Black Machine Face</v>
      </c>
      <c r="J152" s="43">
        <f>2-2+2-2+2-2</f>
        <v>0</v>
      </c>
    </row>
    <row r="153" s="6" customFormat="1" ht="32" customHeight="1" spans="1:10">
      <c r="A153" s="44"/>
      <c r="B153" s="19" t="s">
        <v>1673</v>
      </c>
      <c r="C153" s="19" t="s">
        <v>1564</v>
      </c>
      <c r="D153" s="19" t="s">
        <v>19</v>
      </c>
      <c r="E153" s="19" t="s">
        <v>208</v>
      </c>
      <c r="F153" s="19">
        <v>26</v>
      </c>
      <c r="G153" s="19">
        <v>66.5</v>
      </c>
      <c r="H153" s="19" t="s">
        <v>21</v>
      </c>
      <c r="I153" s="66" t="str">
        <f>VLOOKUP(H153,Sheet4!A:B,2,)</f>
        <v>Black Machine Face</v>
      </c>
      <c r="J153" s="169">
        <v>0</v>
      </c>
    </row>
    <row r="154" s="6" customFormat="1" ht="32" customHeight="1" spans="1:10">
      <c r="A154" s="44"/>
      <c r="B154" s="19" t="s">
        <v>1673</v>
      </c>
      <c r="C154" s="19" t="s">
        <v>1564</v>
      </c>
      <c r="D154" s="19" t="s">
        <v>878</v>
      </c>
      <c r="E154" s="19" t="s">
        <v>208</v>
      </c>
      <c r="F154" s="19">
        <v>19</v>
      </c>
      <c r="G154" s="19">
        <v>66.5</v>
      </c>
      <c r="H154" s="19" t="s">
        <v>21</v>
      </c>
      <c r="I154" s="66" t="str">
        <f>VLOOKUP(H154,Sheet4!A:B,2,)</f>
        <v>Black Machine Face</v>
      </c>
      <c r="J154" s="169">
        <v>2</v>
      </c>
    </row>
    <row r="155" s="6" customFormat="1" ht="32" customHeight="1" spans="1:10">
      <c r="A155" s="44"/>
      <c r="B155" s="19" t="s">
        <v>1674</v>
      </c>
      <c r="C155" s="19" t="s">
        <v>1564</v>
      </c>
      <c r="D155" s="19" t="s">
        <v>19</v>
      </c>
      <c r="E155" s="19" t="s">
        <v>208</v>
      </c>
      <c r="F155" s="19">
        <v>26</v>
      </c>
      <c r="G155" s="19">
        <v>66.5</v>
      </c>
      <c r="H155" s="19" t="s">
        <v>439</v>
      </c>
      <c r="I155" s="66" t="str">
        <f>VLOOKUP(H155,Sheet4!A:B,2,)</f>
        <v>Gunmetal Machine Face</v>
      </c>
      <c r="J155" s="169">
        <v>0</v>
      </c>
    </row>
    <row r="156" s="6" customFormat="1" ht="32" customHeight="1" spans="1:10">
      <c r="A156" s="46"/>
      <c r="B156" s="23" t="s">
        <v>1674</v>
      </c>
      <c r="C156" s="49" t="s">
        <v>1564</v>
      </c>
      <c r="D156" s="49" t="s">
        <v>878</v>
      </c>
      <c r="E156" s="49" t="s">
        <v>208</v>
      </c>
      <c r="F156" s="49">
        <v>19</v>
      </c>
      <c r="G156" s="49">
        <v>66.5</v>
      </c>
      <c r="H156" s="49" t="s">
        <v>439</v>
      </c>
      <c r="I156" s="69" t="str">
        <f>VLOOKUP(H156,Sheet4!A:B,2,)</f>
        <v>Gunmetal Machine Face</v>
      </c>
      <c r="J156" s="170">
        <v>0</v>
      </c>
    </row>
    <row r="157" s="6" customFormat="1" ht="70" customHeight="1" spans="1:10">
      <c r="A157" s="44"/>
      <c r="B157" s="19" t="s">
        <v>1675</v>
      </c>
      <c r="C157" s="20" t="s">
        <v>1564</v>
      </c>
      <c r="D157" s="20" t="s">
        <v>19</v>
      </c>
      <c r="E157" s="20" t="s">
        <v>208</v>
      </c>
      <c r="F157" s="20">
        <v>26</v>
      </c>
      <c r="G157" s="20">
        <v>66.5</v>
      </c>
      <c r="H157" s="20" t="s">
        <v>1135</v>
      </c>
      <c r="I157" s="66" t="str">
        <f>VLOOKUP(H157,Sheet4!A:B,2,)</f>
        <v>Gloss Black LIP </v>
      </c>
      <c r="J157" s="42">
        <v>4</v>
      </c>
    </row>
    <row r="158" s="6" customFormat="1" ht="62" customHeight="1" spans="1:10">
      <c r="A158" s="46"/>
      <c r="B158" s="23" t="s">
        <v>1675</v>
      </c>
      <c r="C158" s="24" t="s">
        <v>1564</v>
      </c>
      <c r="D158" s="24" t="s">
        <v>878</v>
      </c>
      <c r="E158" s="24" t="s">
        <v>208</v>
      </c>
      <c r="F158" s="24">
        <v>19</v>
      </c>
      <c r="G158" s="24">
        <v>66.5</v>
      </c>
      <c r="H158" s="24" t="s">
        <v>1135</v>
      </c>
      <c r="I158" s="69" t="str">
        <f>VLOOKUP(H158,Sheet4!A:B,2,)</f>
        <v>Gloss Black LIP </v>
      </c>
      <c r="J158" s="43">
        <v>4</v>
      </c>
    </row>
    <row r="159" s="6" customFormat="1" ht="30" customHeight="1" spans="1:10">
      <c r="A159" s="82"/>
      <c r="B159" s="19" t="s">
        <v>1676</v>
      </c>
      <c r="C159" s="20" t="s">
        <v>1677</v>
      </c>
      <c r="D159" s="20" t="s">
        <v>19</v>
      </c>
      <c r="E159" s="20" t="s">
        <v>218</v>
      </c>
      <c r="F159" s="20">
        <v>50</v>
      </c>
      <c r="G159" s="20">
        <v>71.56</v>
      </c>
      <c r="H159" s="20" t="s">
        <v>355</v>
      </c>
      <c r="I159" s="66" t="str">
        <f>VLOOKUP(H159,Sheet4!A:B,2,)</f>
        <v>Gloss Black SET WHITE </v>
      </c>
      <c r="J159" s="21">
        <f>2-2+2-2</f>
        <v>0</v>
      </c>
    </row>
    <row r="160" s="6" customFormat="1" ht="30" customHeight="1" spans="1:10">
      <c r="A160" s="82"/>
      <c r="B160" s="19" t="s">
        <v>1676</v>
      </c>
      <c r="C160" s="20" t="s">
        <v>1677</v>
      </c>
      <c r="D160" s="20" t="s">
        <v>994</v>
      </c>
      <c r="E160" s="20" t="s">
        <v>218</v>
      </c>
      <c r="F160" s="20">
        <v>60</v>
      </c>
      <c r="G160" s="20">
        <v>71.56</v>
      </c>
      <c r="H160" s="20" t="s">
        <v>355</v>
      </c>
      <c r="I160" s="66" t="str">
        <f>VLOOKUP(H160,Sheet4!A:B,2,)</f>
        <v>Gloss Black SET WHITE </v>
      </c>
      <c r="J160" s="42">
        <f>2-2+2-2</f>
        <v>0</v>
      </c>
    </row>
    <row r="161" s="6" customFormat="1" ht="30" customHeight="1" spans="1:10">
      <c r="A161" s="44"/>
      <c r="B161" s="19" t="s">
        <v>1678</v>
      </c>
      <c r="C161" s="20" t="s">
        <v>1677</v>
      </c>
      <c r="D161" s="20" t="s">
        <v>39</v>
      </c>
      <c r="E161" s="20" t="s">
        <v>218</v>
      </c>
      <c r="F161" s="20">
        <v>58</v>
      </c>
      <c r="G161" s="20">
        <v>71.56</v>
      </c>
      <c r="H161" s="20" t="s">
        <v>355</v>
      </c>
      <c r="I161" s="66" t="str">
        <f>VLOOKUP(H161,Sheet4!A:B,2,)</f>
        <v>Gloss Black SET WHITE </v>
      </c>
      <c r="J161" s="42">
        <f>2-2+2+2-2-2+6-2-2-2+2</f>
        <v>2</v>
      </c>
    </row>
    <row r="162" s="6" customFormat="1" ht="30" customHeight="1" spans="1:10">
      <c r="A162" s="46"/>
      <c r="B162" s="23" t="s">
        <v>1678</v>
      </c>
      <c r="C162" s="24" t="s">
        <v>1677</v>
      </c>
      <c r="D162" s="24" t="s">
        <v>1024</v>
      </c>
      <c r="E162" s="24" t="s">
        <v>218</v>
      </c>
      <c r="F162" s="24">
        <v>60</v>
      </c>
      <c r="G162" s="24">
        <v>71.56</v>
      </c>
      <c r="H162" s="24" t="s">
        <v>355</v>
      </c>
      <c r="I162" s="69" t="str">
        <f>VLOOKUP(H162,Sheet4!A:B,2,)</f>
        <v>Gloss Black SET WHITE </v>
      </c>
      <c r="J162" s="25">
        <f>2-2+2+2-2-2+6-2-2-2+2</f>
        <v>2</v>
      </c>
    </row>
    <row r="163" s="6" customFormat="1" ht="57" customHeight="1" spans="1:10">
      <c r="A163" s="82"/>
      <c r="B163" s="19" t="s">
        <v>1679</v>
      </c>
      <c r="C163" s="20" t="s">
        <v>1680</v>
      </c>
      <c r="D163" s="20" t="s">
        <v>29</v>
      </c>
      <c r="E163" s="20" t="s">
        <v>218</v>
      </c>
      <c r="F163" s="20">
        <v>48</v>
      </c>
      <c r="G163" s="20">
        <v>71.56</v>
      </c>
      <c r="H163" s="20" t="s">
        <v>359</v>
      </c>
      <c r="I163" s="110" t="str">
        <f>VLOOKUP(H163,Sheet4!A:B,2,)</f>
        <v>Brushed Silver</v>
      </c>
      <c r="J163" s="169">
        <v>2</v>
      </c>
    </row>
    <row r="164" s="6" customFormat="1" ht="57" customHeight="1" spans="1:10">
      <c r="A164" s="84"/>
      <c r="B164" s="49" t="s">
        <v>1681</v>
      </c>
      <c r="C164" s="24" t="s">
        <v>1680</v>
      </c>
      <c r="D164" s="24" t="s">
        <v>994</v>
      </c>
      <c r="E164" s="24" t="s">
        <v>218</v>
      </c>
      <c r="F164" s="24">
        <v>55</v>
      </c>
      <c r="G164" s="24">
        <v>71.56</v>
      </c>
      <c r="H164" s="24" t="s">
        <v>359</v>
      </c>
      <c r="I164" s="36" t="str">
        <f>VLOOKUP(H164,Sheet4!A:B,2,)</f>
        <v>Brushed Silver</v>
      </c>
      <c r="J164" s="43">
        <v>2</v>
      </c>
    </row>
    <row r="165" s="6" customFormat="1" ht="54" customHeight="1" spans="1:10">
      <c r="A165" s="131"/>
      <c r="B165" s="19" t="s">
        <v>1682</v>
      </c>
      <c r="C165" s="20" t="s">
        <v>1680</v>
      </c>
      <c r="D165" s="65" t="s">
        <v>29</v>
      </c>
      <c r="E165" s="65" t="s">
        <v>218</v>
      </c>
      <c r="F165" s="65">
        <v>50</v>
      </c>
      <c r="G165" s="65">
        <v>71.6</v>
      </c>
      <c r="H165" s="65" t="s">
        <v>1449</v>
      </c>
      <c r="I165" s="95" t="str">
        <f>VLOOKUP(H165,Sheet4!A:B,2,)</f>
        <v>MATTE GREY</v>
      </c>
      <c r="J165" s="42">
        <f>2-2+2-2+2-2</f>
        <v>0</v>
      </c>
    </row>
    <row r="166" s="6" customFormat="1" ht="54" customHeight="1" spans="1:10">
      <c r="A166" s="132"/>
      <c r="B166" s="23" t="s">
        <v>1683</v>
      </c>
      <c r="C166" s="24" t="s">
        <v>1680</v>
      </c>
      <c r="D166" s="68" t="s">
        <v>1641</v>
      </c>
      <c r="E166" s="68" t="s">
        <v>218</v>
      </c>
      <c r="F166" s="68">
        <v>67</v>
      </c>
      <c r="G166" s="68">
        <v>71.6</v>
      </c>
      <c r="H166" s="68" t="s">
        <v>1449</v>
      </c>
      <c r="I166" s="98" t="str">
        <f>VLOOKUP(H166,Sheet4!A:B,2,)</f>
        <v>MATTE GREY</v>
      </c>
      <c r="J166" s="43">
        <f>2-2+2-2+2-2</f>
        <v>0</v>
      </c>
    </row>
    <row r="167" s="6" customFormat="1" ht="14.1" customHeight="1" spans="1:10">
      <c r="B167" s="90"/>
      <c r="C167" s="89"/>
      <c r="D167" s="89"/>
      <c r="E167" s="89"/>
      <c r="F167" s="89"/>
      <c r="G167" s="89"/>
      <c r="H167" s="89"/>
      <c r="I167" s="89"/>
      <c r="J167" s="7"/>
    </row>
    <row r="284" s="6" customFormat="1" spans="2:10">
      <c r="B284" s="90"/>
      <c r="C284" s="89"/>
      <c r="D284" s="89"/>
      <c r="E284" s="89"/>
      <c r="F284" s="89"/>
      <c r="G284" s="89"/>
      <c r="H284" s="89"/>
      <c r="I284" s="89"/>
      <c r="J284" s="7"/>
    </row>
  </sheetData>
  <autoFilter xmlns:etc="http://www.wps.cn/officeDocument/2017/etCustomData" ref="A2:J166" etc:filterBottomFollowUsedRange="0">
    <extLst/>
  </autoFilter>
  <mergeCells count="2">
    <mergeCell ref="A73:A74"/>
    <mergeCell ref="A131:A134"/>
  </mergeCells>
  <pageMargins left="0.393055555555556" right="0.751388888888889" top="0.313888888888889" bottom="0.354166666666667" header="0.5" footer="0.196527777777778"/>
  <pageSetup paperSize="9" scale="58" orientation="portrait" horizontalDpi="600"/>
  <headerFooter>
    <oddFooter>&amp;C&amp;14&amp;B保时捷 第 &amp;P 页，共 &amp;N 页</oddFooter>
  </headerFooter>
  <rowBreaks count="1" manualBreakCount="1">
    <brk id="166" max="9" man="1"/>
  </rowBreaks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indexed="25"/>
  </sheetPr>
  <dimension ref="A1:K173"/>
  <sheetViews>
    <sheetView workbookViewId="0">
      <pane xSplit="1" ySplit="2" topLeftCell="B14" activePane="bottomRight" state="frozen"/>
      <selection/>
      <selection pane="topRight"/>
      <selection pane="bottomLeft"/>
      <selection pane="bottomRight" activeCell="H29" sqref="H29"/>
    </sheetView>
  </sheetViews>
  <sheetFormatPr defaultColWidth="9" defaultRowHeight="13.5"/>
  <cols>
    <col min="1" max="1" width="20.9666666666667" style="118" customWidth="1"/>
    <col min="2" max="2" width="20.125" style="90" customWidth="1"/>
    <col min="3" max="3" width="18.0416666666667" style="119" customWidth="1"/>
    <col min="4" max="4" width="11.625" style="120" customWidth="1"/>
    <col min="5" max="5" width="10.1" style="120" customWidth="1"/>
    <col min="6" max="6" width="8.58333333333333" style="120" customWidth="1"/>
    <col min="7" max="7" width="11.625" style="120" customWidth="1"/>
    <col min="8" max="8" width="20.3166666666667" style="120" customWidth="1"/>
    <col min="9" max="9" width="20.325" style="120" customWidth="1"/>
    <col min="10" max="10" width="14.125" style="118" customWidth="1"/>
    <col min="11" max="11" width="15.7583333333333" style="120" customWidth="1"/>
    <col min="12" max="30" width="18" style="6" customWidth="1"/>
    <col min="31" max="36" width="18" style="8" customWidth="1"/>
    <col min="37" max="16384" width="9" style="8"/>
  </cols>
  <sheetData>
    <row r="1" ht="81" customHeight="1"/>
    <row r="2" s="5" customFormat="1" ht="40" customHeight="1" spans="1:11">
      <c r="A2" s="93" t="s">
        <v>1684</v>
      </c>
      <c r="B2" s="94" t="s">
        <v>1685</v>
      </c>
      <c r="C2" s="93" t="s">
        <v>2</v>
      </c>
      <c r="D2" s="94" t="s">
        <v>1686</v>
      </c>
      <c r="E2" s="121" t="s">
        <v>4</v>
      </c>
      <c r="F2" s="121" t="s">
        <v>5</v>
      </c>
      <c r="G2" s="94" t="s">
        <v>1687</v>
      </c>
      <c r="H2" s="93" t="s">
        <v>7</v>
      </c>
      <c r="I2" s="122" t="s">
        <v>1688</v>
      </c>
      <c r="J2" s="93" t="s">
        <v>1689</v>
      </c>
      <c r="K2" s="123" t="s">
        <v>1690</v>
      </c>
    </row>
    <row r="3" s="6" customFormat="1" ht="111" customHeight="1" spans="1:11">
      <c r="A3" s="124"/>
      <c r="B3" s="49" t="s">
        <v>1691</v>
      </c>
      <c r="C3" s="50" t="s">
        <v>1692</v>
      </c>
      <c r="D3" s="50" t="s">
        <v>431</v>
      </c>
      <c r="E3" s="50" t="s">
        <v>13</v>
      </c>
      <c r="F3" s="50">
        <v>40</v>
      </c>
      <c r="G3" s="50">
        <v>72.56</v>
      </c>
      <c r="H3" s="50" t="s">
        <v>16</v>
      </c>
      <c r="I3" s="50" t="str">
        <f>VLOOKUP(H3,Sheet4!A:B,2)</f>
        <v>GLOSS BLACK</v>
      </c>
      <c r="J3" s="51">
        <v>4</v>
      </c>
      <c r="K3" s="125" t="s">
        <v>1693</v>
      </c>
    </row>
    <row r="4" s="6" customFormat="1" ht="36" customHeight="1" spans="1:11">
      <c r="A4" s="82"/>
      <c r="B4" s="19" t="s">
        <v>1694</v>
      </c>
      <c r="C4" s="20" t="s">
        <v>1692</v>
      </c>
      <c r="D4" s="20" t="s">
        <v>39</v>
      </c>
      <c r="E4" s="20" t="s">
        <v>13</v>
      </c>
      <c r="F4" s="20">
        <v>40</v>
      </c>
      <c r="G4" s="20">
        <v>72.56</v>
      </c>
      <c r="H4" s="20" t="s">
        <v>1695</v>
      </c>
      <c r="I4" s="20" t="s">
        <v>311</v>
      </c>
      <c r="J4" s="42">
        <v>12</v>
      </c>
      <c r="K4" s="91" t="s">
        <v>1693</v>
      </c>
    </row>
    <row r="5" s="6" customFormat="1" ht="36" customHeight="1" spans="1:11">
      <c r="A5" s="82"/>
      <c r="B5" s="19" t="s">
        <v>1696</v>
      </c>
      <c r="C5" s="20" t="s">
        <v>1692</v>
      </c>
      <c r="D5" s="20" t="s">
        <v>34</v>
      </c>
      <c r="E5" s="20" t="s">
        <v>13</v>
      </c>
      <c r="F5" s="20">
        <v>40</v>
      </c>
      <c r="G5" s="20">
        <v>72.56</v>
      </c>
      <c r="H5" s="20" t="s">
        <v>1695</v>
      </c>
      <c r="I5" s="20" t="str">
        <f>VLOOKUP(H5,Sheet4!A:B,2)</f>
        <v>MATTE GREY</v>
      </c>
      <c r="J5" s="42">
        <f>4-4+4+4-4-4+4+12+8+12-4-4</f>
        <v>28</v>
      </c>
      <c r="K5" s="91" t="s">
        <v>1693</v>
      </c>
    </row>
    <row r="6" s="6" customFormat="1" ht="36" customHeight="1" spans="1:11">
      <c r="A6" s="84"/>
      <c r="B6" s="23" t="s">
        <v>1697</v>
      </c>
      <c r="C6" s="24" t="s">
        <v>1692</v>
      </c>
      <c r="D6" s="24" t="s">
        <v>431</v>
      </c>
      <c r="E6" s="24" t="s">
        <v>13</v>
      </c>
      <c r="F6" s="24">
        <v>40</v>
      </c>
      <c r="G6" s="24">
        <v>72.56</v>
      </c>
      <c r="H6" s="24" t="s">
        <v>1695</v>
      </c>
      <c r="I6" s="24" t="str">
        <f>VLOOKUP(H6,Sheet4!A:B,2)</f>
        <v>MATTE GREY</v>
      </c>
      <c r="J6" s="43">
        <v>0</v>
      </c>
      <c r="K6" s="101"/>
    </row>
    <row r="7" s="6" customFormat="1" ht="99" customHeight="1" spans="1:11">
      <c r="A7" s="84"/>
      <c r="B7" s="23" t="s">
        <v>1698</v>
      </c>
      <c r="C7" s="24" t="s">
        <v>1692</v>
      </c>
      <c r="D7" s="24" t="s">
        <v>34</v>
      </c>
      <c r="E7" s="24" t="s">
        <v>13</v>
      </c>
      <c r="F7" s="24">
        <v>40</v>
      </c>
      <c r="G7" s="24">
        <v>72.56</v>
      </c>
      <c r="H7" s="24" t="s">
        <v>21</v>
      </c>
      <c r="I7" s="24" t="str">
        <f>VLOOKUP(H7,Sheet4!A:B,2)</f>
        <v>Black Machine Face</v>
      </c>
      <c r="J7" s="43">
        <f>4-4+4-4</f>
        <v>0</v>
      </c>
      <c r="K7" s="101" t="s">
        <v>1693</v>
      </c>
    </row>
    <row r="8" s="6" customFormat="1" ht="35" customHeight="1" spans="1:11">
      <c r="A8" s="82"/>
      <c r="B8" s="19" t="s">
        <v>1699</v>
      </c>
      <c r="C8" s="20" t="s">
        <v>1692</v>
      </c>
      <c r="D8" s="20" t="s">
        <v>39</v>
      </c>
      <c r="E8" s="20" t="s">
        <v>13</v>
      </c>
      <c r="F8" s="20">
        <v>38</v>
      </c>
      <c r="G8" s="20">
        <v>72.56</v>
      </c>
      <c r="H8" s="20" t="s">
        <v>1700</v>
      </c>
      <c r="I8" s="20" t="str">
        <f>VLOOKUP(H8,Sheet4!A:B,2)</f>
        <v>Gloss Black SET PINK</v>
      </c>
      <c r="J8" s="42">
        <f>4-4+8-4-4</f>
        <v>0</v>
      </c>
      <c r="K8" s="91" t="s">
        <v>1693</v>
      </c>
    </row>
    <row r="9" s="6" customFormat="1" ht="35" customHeight="1" spans="1:11">
      <c r="A9" s="82"/>
      <c r="B9" s="19" t="s">
        <v>1701</v>
      </c>
      <c r="C9" s="20" t="s">
        <v>1692</v>
      </c>
      <c r="D9" s="20" t="s">
        <v>34</v>
      </c>
      <c r="E9" s="20" t="s">
        <v>13</v>
      </c>
      <c r="F9" s="20">
        <v>40</v>
      </c>
      <c r="G9" s="20">
        <v>72.56</v>
      </c>
      <c r="H9" s="20" t="s">
        <v>16</v>
      </c>
      <c r="I9" s="20" t="str">
        <f>VLOOKUP(H9,Sheet4!A:B,2)</f>
        <v>GLOSS BLACK</v>
      </c>
      <c r="J9" s="42">
        <f>8+12-4</f>
        <v>16</v>
      </c>
      <c r="K9" s="91" t="s">
        <v>1693</v>
      </c>
    </row>
    <row r="10" s="6" customFormat="1" ht="35" customHeight="1" spans="1:11">
      <c r="A10" s="84"/>
      <c r="B10" s="23" t="s">
        <v>1702</v>
      </c>
      <c r="C10" s="24" t="s">
        <v>1692</v>
      </c>
      <c r="D10" s="24" t="s">
        <v>431</v>
      </c>
      <c r="E10" s="24" t="s">
        <v>13</v>
      </c>
      <c r="F10" s="24">
        <v>40</v>
      </c>
      <c r="G10" s="24">
        <v>72.56</v>
      </c>
      <c r="H10" s="24" t="s">
        <v>16</v>
      </c>
      <c r="I10" s="24" t="str">
        <f>VLOOKUP(H10,Sheet4!A:B,2)</f>
        <v>GLOSS BLACK</v>
      </c>
      <c r="J10" s="43">
        <f>16+4-4</f>
        <v>16</v>
      </c>
      <c r="K10" s="101" t="s">
        <v>1693</v>
      </c>
    </row>
    <row r="11" s="6" customFormat="1" ht="48" customHeight="1" spans="1:11">
      <c r="A11" s="82"/>
      <c r="B11" s="19" t="s">
        <v>1703</v>
      </c>
      <c r="C11" s="20" t="s">
        <v>1692</v>
      </c>
      <c r="D11" s="20" t="s">
        <v>31</v>
      </c>
      <c r="E11" s="20" t="s">
        <v>13</v>
      </c>
      <c r="F11" s="20">
        <v>38</v>
      </c>
      <c r="G11" s="20">
        <v>72.56</v>
      </c>
      <c r="H11" s="20" t="s">
        <v>16</v>
      </c>
      <c r="I11" s="20" t="str">
        <f>VLOOKUP(H11,Sheet4!A:B,2)</f>
        <v>GLOSS BLACK</v>
      </c>
      <c r="J11" s="42">
        <f>4-4</f>
        <v>0</v>
      </c>
      <c r="K11" s="91" t="s">
        <v>1693</v>
      </c>
    </row>
    <row r="12" s="6" customFormat="1" ht="48" customHeight="1" spans="1:11">
      <c r="A12" s="82"/>
      <c r="B12" s="19" t="s">
        <v>1704</v>
      </c>
      <c r="C12" s="20" t="s">
        <v>1692</v>
      </c>
      <c r="D12" s="20" t="s">
        <v>56</v>
      </c>
      <c r="E12" s="20" t="s">
        <v>13</v>
      </c>
      <c r="F12" s="20">
        <v>40</v>
      </c>
      <c r="G12" s="20">
        <v>72.56</v>
      </c>
      <c r="H12" s="20" t="s">
        <v>16</v>
      </c>
      <c r="I12" s="20" t="str">
        <f>VLOOKUP(H12,Sheet4!A:B,2)</f>
        <v>GLOSS BLACK</v>
      </c>
      <c r="J12" s="42">
        <f>4-4</f>
        <v>0</v>
      </c>
      <c r="K12" s="91" t="s">
        <v>1693</v>
      </c>
    </row>
    <row r="13" s="6" customFormat="1" ht="92" customHeight="1" spans="1:11">
      <c r="A13" s="126"/>
      <c r="B13" s="38" t="s">
        <v>1705</v>
      </c>
      <c r="C13" s="39" t="s">
        <v>1692</v>
      </c>
      <c r="D13" s="39" t="s">
        <v>34</v>
      </c>
      <c r="E13" s="39" t="s">
        <v>13</v>
      </c>
      <c r="F13" s="39">
        <v>40</v>
      </c>
      <c r="G13" s="39">
        <v>72.56</v>
      </c>
      <c r="H13" s="39" t="s">
        <v>424</v>
      </c>
      <c r="I13" s="39" t="str">
        <f>VLOOKUP(H13,Sheet4!A:B,2)</f>
        <v>Black Machine+BLACK COATING</v>
      </c>
      <c r="J13" s="45">
        <f>4-4</f>
        <v>0</v>
      </c>
      <c r="K13" s="127" t="s">
        <v>1693</v>
      </c>
    </row>
    <row r="14" s="6" customFormat="1" ht="91" customHeight="1" spans="1:11">
      <c r="A14" s="84"/>
      <c r="B14" s="23" t="s">
        <v>1706</v>
      </c>
      <c r="C14" s="24" t="s">
        <v>1692</v>
      </c>
      <c r="D14" s="24" t="s">
        <v>31</v>
      </c>
      <c r="E14" s="24" t="s">
        <v>13</v>
      </c>
      <c r="F14" s="24">
        <v>35</v>
      </c>
      <c r="G14" s="24">
        <v>72.56</v>
      </c>
      <c r="H14" s="24" t="s">
        <v>16</v>
      </c>
      <c r="I14" s="24" t="str">
        <f>VLOOKUP(H14,Sheet4!A:B,2)</f>
        <v>GLOSS BLACK</v>
      </c>
      <c r="J14" s="43">
        <f>12-4+4-4-4-4+4-4</f>
        <v>0</v>
      </c>
      <c r="K14" s="101" t="s">
        <v>1693</v>
      </c>
    </row>
    <row r="15" s="6" customFormat="1" ht="21" customHeight="1" spans="1:11">
      <c r="A15" s="82"/>
      <c r="B15" s="19" t="s">
        <v>1707</v>
      </c>
      <c r="C15" s="20" t="s">
        <v>1692</v>
      </c>
      <c r="D15" s="20" t="s">
        <v>23</v>
      </c>
      <c r="E15" s="20" t="s">
        <v>20</v>
      </c>
      <c r="F15" s="20">
        <v>43</v>
      </c>
      <c r="G15" s="20">
        <v>63.4</v>
      </c>
      <c r="H15" s="20" t="s">
        <v>87</v>
      </c>
      <c r="I15" s="70" t="str">
        <f>VLOOKUP(H15,Sheet4!A:B,2)</f>
        <v>Gunmetal Machine Face</v>
      </c>
      <c r="J15" s="42">
        <v>0</v>
      </c>
      <c r="K15" s="91"/>
    </row>
    <row r="16" s="6" customFormat="1" ht="21" customHeight="1" spans="1:11">
      <c r="A16" s="82"/>
      <c r="B16" s="19" t="s">
        <v>1708</v>
      </c>
      <c r="C16" s="20" t="s">
        <v>1692</v>
      </c>
      <c r="D16" s="20" t="s">
        <v>29</v>
      </c>
      <c r="E16" s="20" t="s">
        <v>13</v>
      </c>
      <c r="F16" s="20">
        <v>38</v>
      </c>
      <c r="G16" s="20">
        <v>72.56</v>
      </c>
      <c r="H16" s="20" t="s">
        <v>16</v>
      </c>
      <c r="I16" s="20" t="str">
        <f>VLOOKUP(H16,Sheet4!A:B,2)</f>
        <v>GLOSS BLACK</v>
      </c>
      <c r="J16" s="42">
        <f>8-4-4</f>
        <v>0</v>
      </c>
      <c r="K16" s="91" t="s">
        <v>1693</v>
      </c>
    </row>
    <row r="17" s="6" customFormat="1" ht="21" customHeight="1" spans="1:11">
      <c r="A17" s="82"/>
      <c r="B17" s="19" t="s">
        <v>1709</v>
      </c>
      <c r="C17" s="20" t="s">
        <v>1692</v>
      </c>
      <c r="D17" s="20" t="s">
        <v>29</v>
      </c>
      <c r="E17" s="20" t="s">
        <v>20</v>
      </c>
      <c r="F17" s="20">
        <v>40</v>
      </c>
      <c r="G17" s="20">
        <v>63.3</v>
      </c>
      <c r="H17" s="20" t="s">
        <v>16</v>
      </c>
      <c r="I17" s="20" t="str">
        <f>VLOOKUP(H17,Sheet4!A:B,2)</f>
        <v>GLOSS BLACK</v>
      </c>
      <c r="J17" s="42">
        <f>4-4+12-4-4-4</f>
        <v>0</v>
      </c>
      <c r="K17" s="91" t="s">
        <v>1693</v>
      </c>
    </row>
    <row r="18" s="6" customFormat="1" ht="21" customHeight="1" spans="1:11">
      <c r="A18" s="82"/>
      <c r="B18" s="19" t="s">
        <v>1710</v>
      </c>
      <c r="C18" s="20" t="s">
        <v>1692</v>
      </c>
      <c r="D18" s="20" t="s">
        <v>19</v>
      </c>
      <c r="E18" s="20" t="s">
        <v>13</v>
      </c>
      <c r="F18" s="20">
        <v>45</v>
      </c>
      <c r="G18" s="20">
        <v>72.56</v>
      </c>
      <c r="H18" s="20" t="s">
        <v>87</v>
      </c>
      <c r="I18" s="20" t="str">
        <f>VLOOKUP(H18,Sheet4!A:B,2)</f>
        <v>Gunmetal Machine Face</v>
      </c>
      <c r="J18" s="42">
        <f>12-4-4-4+12-4+4-4-4</f>
        <v>4</v>
      </c>
      <c r="K18" s="91"/>
    </row>
    <row r="19" s="6" customFormat="1" ht="21" customHeight="1" spans="1:11">
      <c r="A19" s="82"/>
      <c r="B19" s="19" t="s">
        <v>1711</v>
      </c>
      <c r="C19" s="20" t="s">
        <v>1692</v>
      </c>
      <c r="D19" s="20" t="s">
        <v>31</v>
      </c>
      <c r="E19" s="20" t="s">
        <v>20</v>
      </c>
      <c r="F19" s="20">
        <v>40</v>
      </c>
      <c r="G19" s="20">
        <v>63.3</v>
      </c>
      <c r="H19" s="20" t="s">
        <v>87</v>
      </c>
      <c r="I19" s="20" t="str">
        <f>VLOOKUP(H19,Sheet4!A:B,2)</f>
        <v>Gunmetal Machine Face</v>
      </c>
      <c r="J19" s="42">
        <f>4+8-4-4-4+4+4-4-4+4+4-4+4-4</f>
        <v>4</v>
      </c>
      <c r="K19" s="91" t="s">
        <v>1693</v>
      </c>
    </row>
    <row r="20" s="6" customFormat="1" ht="21" customHeight="1" spans="1:11">
      <c r="A20" s="82"/>
      <c r="B20" s="19" t="s">
        <v>1712</v>
      </c>
      <c r="C20" s="20" t="s">
        <v>1692</v>
      </c>
      <c r="D20" s="20" t="s">
        <v>31</v>
      </c>
      <c r="E20" s="20" t="s">
        <v>20</v>
      </c>
      <c r="F20" s="20">
        <v>40</v>
      </c>
      <c r="G20" s="20">
        <v>63.4</v>
      </c>
      <c r="H20" s="20" t="s">
        <v>16</v>
      </c>
      <c r="I20" s="20" t="str">
        <f>VLOOKUP(H20,Sheet4!A:B,2)</f>
        <v>GLOSS BLACK</v>
      </c>
      <c r="J20" s="42">
        <v>0</v>
      </c>
      <c r="K20" s="91" t="s">
        <v>1693</v>
      </c>
    </row>
    <row r="21" s="6" customFormat="1" ht="21" customHeight="1" spans="1:11">
      <c r="A21" s="82"/>
      <c r="B21" s="19" t="s">
        <v>1713</v>
      </c>
      <c r="C21" s="20" t="s">
        <v>1692</v>
      </c>
      <c r="D21" s="20" t="s">
        <v>34</v>
      </c>
      <c r="E21" s="20" t="s">
        <v>20</v>
      </c>
      <c r="F21" s="20">
        <v>40</v>
      </c>
      <c r="G21" s="20">
        <v>63.4</v>
      </c>
      <c r="H21" s="20" t="s">
        <v>87</v>
      </c>
      <c r="I21" s="20" t="str">
        <f>VLOOKUP(H21,Sheet4!A:B,2)</f>
        <v>Gunmetal Machine Face</v>
      </c>
      <c r="J21" s="42">
        <f>4-4+4-4+8-4</f>
        <v>4</v>
      </c>
      <c r="K21" s="91" t="s">
        <v>1693</v>
      </c>
    </row>
    <row r="22" s="6" customFormat="1" ht="21" customHeight="1" spans="1:11">
      <c r="A22" s="82"/>
      <c r="B22" s="19" t="s">
        <v>1714</v>
      </c>
      <c r="C22" s="20" t="s">
        <v>1692</v>
      </c>
      <c r="D22" s="20" t="s">
        <v>31</v>
      </c>
      <c r="E22" s="20" t="s">
        <v>13</v>
      </c>
      <c r="F22" s="20">
        <v>40</v>
      </c>
      <c r="G22" s="20">
        <v>72.56</v>
      </c>
      <c r="H22" s="20" t="s">
        <v>87</v>
      </c>
      <c r="I22" s="20" t="str">
        <f>VLOOKUP(H22,Sheet4!A:B,2)</f>
        <v>Gunmetal Machine Face</v>
      </c>
      <c r="J22" s="42">
        <f>8-4+4-4-4+4+8-4-4+1-1-4+8-4+4-4</f>
        <v>4</v>
      </c>
      <c r="K22" s="128" t="s">
        <v>1693</v>
      </c>
    </row>
    <row r="23" s="6" customFormat="1" ht="21" customHeight="1" spans="1:11">
      <c r="A23" s="82"/>
      <c r="B23" s="19" t="s">
        <v>1715</v>
      </c>
      <c r="C23" s="20" t="s">
        <v>1692</v>
      </c>
      <c r="D23" s="20" t="s">
        <v>39</v>
      </c>
      <c r="E23" s="20" t="s">
        <v>13</v>
      </c>
      <c r="F23" s="20">
        <v>40</v>
      </c>
      <c r="G23" s="20">
        <v>72.56</v>
      </c>
      <c r="H23" s="20" t="s">
        <v>87</v>
      </c>
      <c r="I23" s="20" t="str">
        <f>VLOOKUP(H23,Sheet4!A:B,2)</f>
        <v>Gunmetal Machine Face</v>
      </c>
      <c r="J23" s="42">
        <v>4</v>
      </c>
      <c r="K23" s="128" t="s">
        <v>1693</v>
      </c>
    </row>
    <row r="24" s="6" customFormat="1" ht="21" customHeight="1" spans="1:11">
      <c r="A24" s="82"/>
      <c r="B24" s="19" t="s">
        <v>1716</v>
      </c>
      <c r="C24" s="20" t="s">
        <v>1692</v>
      </c>
      <c r="D24" s="20" t="s">
        <v>39</v>
      </c>
      <c r="E24" s="20" t="s">
        <v>13</v>
      </c>
      <c r="F24" s="20">
        <v>40</v>
      </c>
      <c r="G24" s="20">
        <v>72.56</v>
      </c>
      <c r="H24" s="20" t="s">
        <v>16</v>
      </c>
      <c r="I24" s="20" t="str">
        <f>VLOOKUP(H24,Sheet4!A:B,2)</f>
        <v>GLOSS BLACK</v>
      </c>
      <c r="J24" s="42">
        <f>3+8-4-4+5-4-4+8-4-4+8+4-4-4-4+4+8-4-4+12-4+4-4-4-4-4+11+1-4-4</f>
        <v>4</v>
      </c>
      <c r="K24" s="91" t="s">
        <v>1693</v>
      </c>
    </row>
    <row r="25" s="6" customFormat="1" ht="21" customHeight="1" spans="1:11">
      <c r="A25" s="82"/>
      <c r="B25" s="19" t="s">
        <v>1717</v>
      </c>
      <c r="C25" s="20" t="s">
        <v>1692</v>
      </c>
      <c r="D25" s="20" t="s">
        <v>34</v>
      </c>
      <c r="E25" s="20" t="s">
        <v>13</v>
      </c>
      <c r="F25" s="20">
        <v>40</v>
      </c>
      <c r="G25" s="20">
        <v>72.56</v>
      </c>
      <c r="H25" s="20" t="s">
        <v>87</v>
      </c>
      <c r="I25" s="20" t="str">
        <f>VLOOKUP(H25,Sheet4!A:B,2)</f>
        <v>Gunmetal Machine Face</v>
      </c>
      <c r="J25" s="42">
        <f>8-4-4+12-4-4+20-4-4-4-8-4+8+4+4-4+4-4-4+4-4-4-4+8-4+8-4-4-4+4-4+12-4+12+8-4-4-4</f>
        <v>16</v>
      </c>
      <c r="K25" s="91" t="s">
        <v>1693</v>
      </c>
    </row>
    <row r="26" s="6" customFormat="1" ht="21" customHeight="1" spans="1:11">
      <c r="A26" s="129"/>
      <c r="B26" s="19" t="s">
        <v>1718</v>
      </c>
      <c r="C26" s="20" t="s">
        <v>1692</v>
      </c>
      <c r="D26" s="20" t="s">
        <v>34</v>
      </c>
      <c r="E26" s="20" t="s">
        <v>13</v>
      </c>
      <c r="F26" s="20">
        <v>40</v>
      </c>
      <c r="G26" s="20">
        <v>72.56</v>
      </c>
      <c r="H26" s="20" t="s">
        <v>21</v>
      </c>
      <c r="I26" s="20" t="str">
        <f>VLOOKUP(H26,Sheet4!A:B,2)</f>
        <v>Black Machine Face</v>
      </c>
      <c r="J26" s="42">
        <f>4-4+4-4+4-4</f>
        <v>0</v>
      </c>
      <c r="K26" s="91" t="s">
        <v>1693</v>
      </c>
    </row>
    <row r="27" s="6" customFormat="1" ht="21" customHeight="1" spans="1:11">
      <c r="A27" s="129"/>
      <c r="B27" s="19" t="s">
        <v>1719</v>
      </c>
      <c r="C27" s="20" t="s">
        <v>1692</v>
      </c>
      <c r="D27" s="20" t="s">
        <v>34</v>
      </c>
      <c r="E27" s="20" t="s">
        <v>13</v>
      </c>
      <c r="F27" s="20">
        <v>40</v>
      </c>
      <c r="G27" s="20">
        <v>72.56</v>
      </c>
      <c r="H27" s="20" t="s">
        <v>16</v>
      </c>
      <c r="I27" s="20" t="str">
        <f>VLOOKUP(H27,Sheet4!A:B,2)</f>
        <v>GLOSS BLACK</v>
      </c>
      <c r="J27" s="42">
        <f>16-8+20-5-4-4</f>
        <v>15</v>
      </c>
      <c r="K27" s="91" t="s">
        <v>1693</v>
      </c>
    </row>
    <row r="28" s="6" customFormat="1" ht="21" customHeight="1" spans="1:11">
      <c r="A28" s="129"/>
      <c r="B28" s="19" t="s">
        <v>1720</v>
      </c>
      <c r="C28" s="20" t="s">
        <v>1692</v>
      </c>
      <c r="D28" s="20" t="s">
        <v>34</v>
      </c>
      <c r="E28" s="20" t="s">
        <v>13</v>
      </c>
      <c r="F28" s="20">
        <v>40</v>
      </c>
      <c r="G28" s="20">
        <v>72.56</v>
      </c>
      <c r="H28" s="20" t="s">
        <v>16</v>
      </c>
      <c r="I28" s="20" t="str">
        <f>VLOOKUP(H28,Sheet4!A:B,2)</f>
        <v>GLOSS BLACK</v>
      </c>
      <c r="J28" s="42">
        <v>1</v>
      </c>
      <c r="K28" s="91" t="s">
        <v>1693</v>
      </c>
    </row>
    <row r="29" s="6" customFormat="1" ht="21" customHeight="1" spans="1:11">
      <c r="A29" s="82"/>
      <c r="B29" s="19" t="s">
        <v>1721</v>
      </c>
      <c r="C29" s="20" t="s">
        <v>1692</v>
      </c>
      <c r="D29" s="20" t="s">
        <v>431</v>
      </c>
      <c r="E29" s="20" t="s">
        <v>13</v>
      </c>
      <c r="F29" s="20">
        <v>40</v>
      </c>
      <c r="G29" s="20">
        <v>72.56</v>
      </c>
      <c r="H29" s="20" t="s">
        <v>16</v>
      </c>
      <c r="I29" s="20" t="str">
        <f>VLOOKUP(H29,Sheet4!A:B,2)</f>
        <v>GLOSS BLACK</v>
      </c>
      <c r="J29" s="21">
        <f>4-4+24-4-4-4-4+4-4-4-4+4-4+12-4-4-4+8-4+4-4-4+8-4+12-1+16+1-4-4-4-4-4-4+8-4+4-8-4-4+8+12-4-4-4-4-4+8+12-4-8-4-4+20-12-4+12+20-4-1-4-4-4-4-4-4-4+24-4-4+4-4-4-4+4+12-4-4-4-5+20-4-4+36-4-8-4-4+4-8</f>
        <v>34</v>
      </c>
      <c r="K29" s="91" t="s">
        <v>1693</v>
      </c>
    </row>
    <row r="30" ht="21" customHeight="1" spans="1:11">
      <c r="A30" s="84"/>
      <c r="B30" s="23" t="s">
        <v>1722</v>
      </c>
      <c r="C30" s="24" t="s">
        <v>1692</v>
      </c>
      <c r="D30" s="24" t="s">
        <v>431</v>
      </c>
      <c r="E30" s="24" t="s">
        <v>13</v>
      </c>
      <c r="F30" s="24">
        <v>40</v>
      </c>
      <c r="G30" s="24">
        <v>72.56</v>
      </c>
      <c r="H30" s="24" t="s">
        <v>87</v>
      </c>
      <c r="I30" s="24" t="str">
        <f>VLOOKUP(H30,Sheet4!A:B,2)</f>
        <v>Gunmetal Machine Face</v>
      </c>
      <c r="J30" s="43">
        <f>24-4-4-4+12</f>
        <v>24</v>
      </c>
      <c r="K30" s="101"/>
    </row>
    <row r="31" ht="31" customHeight="1" spans="1:11">
      <c r="A31" s="82"/>
      <c r="B31" s="19" t="s">
        <v>1723</v>
      </c>
      <c r="C31" s="20" t="s">
        <v>1692</v>
      </c>
      <c r="D31" s="20" t="s">
        <v>19</v>
      </c>
      <c r="E31" s="20" t="s">
        <v>13</v>
      </c>
      <c r="F31" s="20">
        <v>45</v>
      </c>
      <c r="G31" s="20">
        <v>72.56</v>
      </c>
      <c r="H31" s="20" t="s">
        <v>87</v>
      </c>
      <c r="I31" s="20" t="str">
        <f>VLOOKUP(H31,Sheet4!A:B,2)</f>
        <v>Gunmetal Machine Face</v>
      </c>
      <c r="J31" s="42">
        <f>4-4+8-4-4+12-4-4-4+12</f>
        <v>12</v>
      </c>
      <c r="K31" s="91"/>
    </row>
    <row r="32" ht="27" customHeight="1" spans="1:11">
      <c r="A32" s="129"/>
      <c r="B32" s="19" t="s">
        <v>1724</v>
      </c>
      <c r="C32" s="20" t="s">
        <v>1692</v>
      </c>
      <c r="D32" s="20" t="s">
        <v>31</v>
      </c>
      <c r="E32" s="20" t="s">
        <v>13</v>
      </c>
      <c r="F32" s="20">
        <v>38</v>
      </c>
      <c r="G32" s="20">
        <v>72.56</v>
      </c>
      <c r="H32" s="20" t="s">
        <v>16</v>
      </c>
      <c r="I32" s="20" t="str">
        <f>VLOOKUP(H32,Sheet4!A:B,2)</f>
        <v>GLOSS BLACK</v>
      </c>
      <c r="J32" s="42">
        <f>8-4-4</f>
        <v>0</v>
      </c>
      <c r="K32" s="91" t="s">
        <v>1693</v>
      </c>
    </row>
    <row r="33" ht="27" customHeight="1" spans="1:11">
      <c r="A33" s="129"/>
      <c r="B33" s="19" t="s">
        <v>1725</v>
      </c>
      <c r="C33" s="20" t="s">
        <v>1692</v>
      </c>
      <c r="D33" s="20" t="s">
        <v>39</v>
      </c>
      <c r="E33" s="20" t="s">
        <v>13</v>
      </c>
      <c r="F33" s="20">
        <v>38</v>
      </c>
      <c r="G33" s="20">
        <v>72.56</v>
      </c>
      <c r="H33" s="20" t="s">
        <v>87</v>
      </c>
      <c r="I33" s="20" t="str">
        <f>VLOOKUP(H33,Sheet4!A:B,2)</f>
        <v>Gunmetal Machine Face</v>
      </c>
      <c r="J33" s="42">
        <f>4+12-4-4-4-4+4+8-4-4+4-4-4</f>
        <v>0</v>
      </c>
      <c r="K33" s="91" t="s">
        <v>1693</v>
      </c>
    </row>
    <row r="34" ht="27" customHeight="1" spans="1:11">
      <c r="A34" s="129"/>
      <c r="B34" s="19" t="s">
        <v>1726</v>
      </c>
      <c r="C34" s="20" t="s">
        <v>1692</v>
      </c>
      <c r="D34" s="20" t="s">
        <v>39</v>
      </c>
      <c r="E34" s="20" t="s">
        <v>13</v>
      </c>
      <c r="F34" s="20">
        <v>40</v>
      </c>
      <c r="G34" s="20">
        <v>72.56</v>
      </c>
      <c r="H34" s="20" t="s">
        <v>21</v>
      </c>
      <c r="I34" s="20" t="str">
        <f>VLOOKUP(H34,Sheet4!A:B,2)</f>
        <v>Black Machine Face</v>
      </c>
      <c r="J34" s="42">
        <f>4+8-4-4-4+4-4</f>
        <v>0</v>
      </c>
      <c r="K34" s="91" t="s">
        <v>1693</v>
      </c>
    </row>
    <row r="35" ht="27" customHeight="1" spans="1:11">
      <c r="A35" s="129"/>
      <c r="B35" s="19" t="s">
        <v>1727</v>
      </c>
      <c r="C35" s="20" t="s">
        <v>1692</v>
      </c>
      <c r="D35" s="20" t="s">
        <v>34</v>
      </c>
      <c r="E35" s="20" t="s">
        <v>13</v>
      </c>
      <c r="F35" s="20">
        <v>40</v>
      </c>
      <c r="G35" s="20">
        <v>72.56</v>
      </c>
      <c r="H35" s="20" t="s">
        <v>87</v>
      </c>
      <c r="I35" s="20" t="str">
        <f>VLOOKUP(H35,Sheet4!A:B,2)</f>
        <v>Gunmetal Machine Face</v>
      </c>
      <c r="J35" s="42">
        <f>11-4+12-1-4-4-4-4+4-4+4+4+8-4-4-4-4+4-1-4+8-4</f>
        <v>5</v>
      </c>
      <c r="K35" s="91" t="s">
        <v>1693</v>
      </c>
    </row>
    <row r="36" ht="27" customHeight="1" spans="1:11">
      <c r="A36" s="129"/>
      <c r="B36" s="19" t="s">
        <v>1728</v>
      </c>
      <c r="C36" s="20" t="s">
        <v>1692</v>
      </c>
      <c r="D36" s="20" t="s">
        <v>34</v>
      </c>
      <c r="E36" s="20" t="s">
        <v>13</v>
      </c>
      <c r="F36" s="20">
        <v>40</v>
      </c>
      <c r="G36" s="20">
        <v>72.56</v>
      </c>
      <c r="H36" s="20" t="s">
        <v>87</v>
      </c>
      <c r="I36" s="20" t="str">
        <f>VLOOKUP(H36,Sheet4!A:B,2)</f>
        <v>Gunmetal Machine Face</v>
      </c>
      <c r="J36" s="42">
        <f>13-4+12</f>
        <v>21</v>
      </c>
      <c r="K36" s="91" t="s">
        <v>1729</v>
      </c>
    </row>
    <row r="37" ht="27" customHeight="1" spans="1:11">
      <c r="A37" s="129"/>
      <c r="B37" s="19" t="s">
        <v>1730</v>
      </c>
      <c r="C37" s="20" t="s">
        <v>1692</v>
      </c>
      <c r="D37" s="20" t="s">
        <v>34</v>
      </c>
      <c r="E37" s="20" t="s">
        <v>13</v>
      </c>
      <c r="F37" s="20">
        <v>40</v>
      </c>
      <c r="G37" s="20">
        <v>72.56</v>
      </c>
      <c r="H37" s="20" t="s">
        <v>16</v>
      </c>
      <c r="I37" s="20" t="str">
        <f>VLOOKUP(H37,Sheet4!A:B,2)</f>
        <v>GLOSS BLACK</v>
      </c>
      <c r="J37" s="42">
        <f>12-4+4</f>
        <v>12</v>
      </c>
      <c r="K37" s="91" t="s">
        <v>1693</v>
      </c>
    </row>
    <row r="38" ht="27" customHeight="1" spans="1:11">
      <c r="A38" s="129"/>
      <c r="B38" s="19" t="s">
        <v>1731</v>
      </c>
      <c r="C38" s="20" t="s">
        <v>1692</v>
      </c>
      <c r="D38" s="20" t="s">
        <v>34</v>
      </c>
      <c r="E38" s="20" t="s">
        <v>13</v>
      </c>
      <c r="F38" s="20">
        <v>40</v>
      </c>
      <c r="G38" s="20">
        <v>72.56</v>
      </c>
      <c r="H38" s="20" t="s">
        <v>21</v>
      </c>
      <c r="I38" s="20" t="str">
        <f>VLOOKUP(H38,Sheet4!A:B,2)</f>
        <v>Black Machine Face</v>
      </c>
      <c r="J38" s="42">
        <f>4-4+12-4-4-4+8-4-4+8-4-4+4+4-4+4-4</f>
        <v>4</v>
      </c>
      <c r="K38" s="91" t="s">
        <v>1693</v>
      </c>
    </row>
    <row r="39" ht="27" customHeight="1" spans="1:11">
      <c r="A39" s="129"/>
      <c r="B39" s="19" t="s">
        <v>1732</v>
      </c>
      <c r="C39" s="20" t="s">
        <v>1692</v>
      </c>
      <c r="D39" s="20" t="s">
        <v>431</v>
      </c>
      <c r="E39" s="20" t="s">
        <v>13</v>
      </c>
      <c r="F39" s="20">
        <v>40</v>
      </c>
      <c r="G39" s="20">
        <v>72.56</v>
      </c>
      <c r="H39" s="20" t="s">
        <v>87</v>
      </c>
      <c r="I39" s="20" t="str">
        <f>VLOOKUP(H39,Sheet4!A:B,2)</f>
        <v>Gunmetal Machine Face</v>
      </c>
      <c r="J39" s="42">
        <f>8-4-4+8-4+8-4-4-4+4-4+4-4+4-4+12-4-4+4+8-1-1-4-4+4-4-4+2+8+4-4-4-4-4</f>
        <v>0</v>
      </c>
      <c r="K39" s="91" t="s">
        <v>1693</v>
      </c>
    </row>
    <row r="40" ht="27" customHeight="1" spans="1:11">
      <c r="A40" s="129"/>
      <c r="B40" s="19" t="s">
        <v>1733</v>
      </c>
      <c r="C40" s="20" t="s">
        <v>1692</v>
      </c>
      <c r="D40" s="20" t="s">
        <v>431</v>
      </c>
      <c r="E40" s="20" t="s">
        <v>13</v>
      </c>
      <c r="F40" s="20">
        <v>40</v>
      </c>
      <c r="G40" s="20">
        <v>72.56</v>
      </c>
      <c r="H40" s="20" t="s">
        <v>21</v>
      </c>
      <c r="I40" s="20" t="str">
        <f>VLOOKUP(H40,Sheet4!A:B,2)</f>
        <v>Black Machine Face</v>
      </c>
      <c r="J40" s="42">
        <f>12-4-4-4</f>
        <v>0</v>
      </c>
      <c r="K40" s="91" t="s">
        <v>1693</v>
      </c>
    </row>
    <row r="41" ht="27" customHeight="1" spans="1:11">
      <c r="A41" s="130"/>
      <c r="B41" s="23" t="s">
        <v>1734</v>
      </c>
      <c r="C41" s="24" t="s">
        <v>1692</v>
      </c>
      <c r="D41" s="24" t="s">
        <v>431</v>
      </c>
      <c r="E41" s="24" t="s">
        <v>13</v>
      </c>
      <c r="F41" s="24">
        <v>40</v>
      </c>
      <c r="G41" s="24">
        <v>72.56</v>
      </c>
      <c r="H41" s="24" t="s">
        <v>16</v>
      </c>
      <c r="I41" s="24" t="str">
        <f>VLOOKUP(H41,Sheet4!A:B,2)</f>
        <v>GLOSS BLACK</v>
      </c>
      <c r="J41" s="43">
        <f>8+4-4-4-4</f>
        <v>0</v>
      </c>
      <c r="K41" s="101" t="s">
        <v>1693</v>
      </c>
    </row>
    <row r="42" ht="52" customHeight="1" spans="1:11">
      <c r="A42" s="129"/>
      <c r="B42" s="19" t="s">
        <v>1735</v>
      </c>
      <c r="C42" s="20" t="s">
        <v>1692</v>
      </c>
      <c r="D42" s="20" t="s">
        <v>39</v>
      </c>
      <c r="E42" s="20" t="s">
        <v>13</v>
      </c>
      <c r="F42" s="20">
        <v>45</v>
      </c>
      <c r="G42" s="20">
        <v>72.56</v>
      </c>
      <c r="H42" s="20" t="s">
        <v>1736</v>
      </c>
      <c r="I42" s="20" t="str">
        <f>VLOOKUP(H42,Sheet4!A:B,2)</f>
        <v>Gloss Black SET PINK</v>
      </c>
      <c r="J42" s="42">
        <f>4-4+4-4+4-4</f>
        <v>0</v>
      </c>
      <c r="K42" s="91" t="s">
        <v>1693</v>
      </c>
    </row>
    <row r="43" ht="52" customHeight="1" spans="1:11">
      <c r="A43" s="129"/>
      <c r="B43" s="19" t="s">
        <v>1737</v>
      </c>
      <c r="C43" s="20" t="s">
        <v>1692</v>
      </c>
      <c r="D43" s="20" t="s">
        <v>31</v>
      </c>
      <c r="E43" s="20" t="s">
        <v>13</v>
      </c>
      <c r="F43" s="20">
        <v>38</v>
      </c>
      <c r="G43" s="20">
        <v>72.56</v>
      </c>
      <c r="H43" s="20" t="s">
        <v>1738</v>
      </c>
      <c r="I43" s="20" t="str">
        <f>VLOOKUP(H43,Sheet4!A:B,2)</f>
        <v>Gloss Black</v>
      </c>
      <c r="J43" s="42">
        <f>4-4+4</f>
        <v>4</v>
      </c>
      <c r="K43" s="91" t="s">
        <v>1693</v>
      </c>
    </row>
    <row r="44" s="6" customFormat="1" ht="52" customHeight="1" spans="1:11">
      <c r="A44" s="129"/>
      <c r="B44" s="19" t="s">
        <v>1739</v>
      </c>
      <c r="C44" s="20" t="s">
        <v>1692</v>
      </c>
      <c r="D44" s="20" t="s">
        <v>31</v>
      </c>
      <c r="E44" s="20" t="s">
        <v>13</v>
      </c>
      <c r="F44" s="20">
        <v>38</v>
      </c>
      <c r="G44" s="20">
        <v>72.56</v>
      </c>
      <c r="H44" s="20" t="s">
        <v>21</v>
      </c>
      <c r="I44" s="20" t="str">
        <f>VLOOKUP(H44,Sheet4!A:B,2)</f>
        <v>Black Machine Face</v>
      </c>
      <c r="J44" s="42">
        <f>4+4-4-4+4+4-4-4+4-4</f>
        <v>0</v>
      </c>
      <c r="K44" s="91" t="s">
        <v>1693</v>
      </c>
    </row>
    <row r="45" s="6" customFormat="1" ht="52" customHeight="1" spans="1:11">
      <c r="A45" s="82"/>
      <c r="B45" s="19" t="s">
        <v>1740</v>
      </c>
      <c r="C45" s="20" t="s">
        <v>1692</v>
      </c>
      <c r="D45" s="20" t="s">
        <v>34</v>
      </c>
      <c r="E45" s="20" t="s">
        <v>13</v>
      </c>
      <c r="F45" s="20">
        <v>40</v>
      </c>
      <c r="G45" s="20">
        <v>72.56</v>
      </c>
      <c r="H45" s="20" t="s">
        <v>21</v>
      </c>
      <c r="I45" s="20" t="str">
        <f>VLOOKUP(H45,Sheet4!A:B,2)</f>
        <v>Black Machine Face</v>
      </c>
      <c r="J45" s="42">
        <f>4-4+4-4+2+2-4+4-4+4-4+4-4+4-4+4-4+8+8-4+4-4+8-4</f>
        <v>16</v>
      </c>
      <c r="K45" s="128" t="s">
        <v>1693</v>
      </c>
    </row>
    <row r="46" ht="52" customHeight="1" spans="1:11">
      <c r="A46" s="129"/>
      <c r="B46" s="19" t="s">
        <v>1741</v>
      </c>
      <c r="C46" s="20" t="s">
        <v>1692</v>
      </c>
      <c r="D46" s="20" t="s">
        <v>34</v>
      </c>
      <c r="E46" s="20" t="s">
        <v>13</v>
      </c>
      <c r="F46" s="20">
        <v>40</v>
      </c>
      <c r="G46" s="20">
        <v>72.56</v>
      </c>
      <c r="H46" s="20" t="s">
        <v>1742</v>
      </c>
      <c r="I46" s="20" t="str">
        <f>VLOOKUP(H46,Sheet4!A:B,2)</f>
        <v>MATTE BLACK</v>
      </c>
      <c r="J46" s="42">
        <f>4-4</f>
        <v>0</v>
      </c>
      <c r="K46" s="91" t="s">
        <v>1693</v>
      </c>
    </row>
    <row r="47" s="6" customFormat="1" ht="52" customHeight="1" spans="1:11">
      <c r="A47" s="129"/>
      <c r="B47" s="19" t="s">
        <v>1743</v>
      </c>
      <c r="C47" s="20" t="s">
        <v>1692</v>
      </c>
      <c r="D47" s="20" t="s">
        <v>431</v>
      </c>
      <c r="E47" s="20" t="s">
        <v>13</v>
      </c>
      <c r="F47" s="20">
        <v>40</v>
      </c>
      <c r="G47" s="20">
        <v>72.56</v>
      </c>
      <c r="H47" s="20" t="s">
        <v>21</v>
      </c>
      <c r="I47" s="20" t="str">
        <f>VLOOKUP(H47,Sheet4!A:B,2)</f>
        <v>Black Machine Face</v>
      </c>
      <c r="J47" s="42">
        <f>4-4+8-4+8-4-4-4+4-4+8-4-4</f>
        <v>0</v>
      </c>
      <c r="K47" s="91" t="s">
        <v>1693</v>
      </c>
    </row>
    <row r="48" ht="52" customHeight="1" spans="1:11">
      <c r="A48" s="129"/>
      <c r="B48" s="19" t="s">
        <v>1744</v>
      </c>
      <c r="C48" s="20" t="s">
        <v>1692</v>
      </c>
      <c r="D48" s="20" t="s">
        <v>431</v>
      </c>
      <c r="E48" s="20" t="s">
        <v>13</v>
      </c>
      <c r="F48" s="20">
        <v>40</v>
      </c>
      <c r="G48" s="20">
        <v>72.56</v>
      </c>
      <c r="H48" s="20" t="s">
        <v>1745</v>
      </c>
      <c r="I48" s="20" t="str">
        <f>VLOOKUP(H48,Sheet4!A:B,2)</f>
        <v>Black Machine Face</v>
      </c>
      <c r="J48" s="42">
        <f>12-4-4-4</f>
        <v>0</v>
      </c>
      <c r="K48" s="91" t="s">
        <v>1693</v>
      </c>
    </row>
    <row r="49" ht="52" customHeight="1" spans="1:11">
      <c r="A49" s="130"/>
      <c r="B49" s="23" t="s">
        <v>1746</v>
      </c>
      <c r="C49" s="24" t="s">
        <v>1692</v>
      </c>
      <c r="D49" s="24" t="s">
        <v>431</v>
      </c>
      <c r="E49" s="24" t="s">
        <v>13</v>
      </c>
      <c r="F49" s="24">
        <v>38</v>
      </c>
      <c r="G49" s="24">
        <v>72.56</v>
      </c>
      <c r="H49" s="24" t="s">
        <v>1747</v>
      </c>
      <c r="I49" s="24" t="str">
        <f>VLOOKUP(H49,Sheet4!A:B,2)</f>
        <v>MATTE BLACK</v>
      </c>
      <c r="J49" s="43">
        <f>12-1+1-4-8+4-4+4-4+4-4</f>
        <v>0</v>
      </c>
      <c r="K49" s="101" t="s">
        <v>1693</v>
      </c>
    </row>
    <row r="50" s="6" customFormat="1" ht="36" customHeight="1" spans="1:11">
      <c r="A50" s="131"/>
      <c r="B50" s="19" t="s">
        <v>1748</v>
      </c>
      <c r="C50" s="20" t="s">
        <v>789</v>
      </c>
      <c r="D50" s="20" t="s">
        <v>39</v>
      </c>
      <c r="E50" s="20" t="s">
        <v>13</v>
      </c>
      <c r="F50" s="20">
        <v>38</v>
      </c>
      <c r="G50" s="20">
        <v>72.56</v>
      </c>
      <c r="H50" s="20" t="s">
        <v>513</v>
      </c>
      <c r="I50" s="20" t="str">
        <f>VLOOKUP(H50,Sheet4!A:B,2)</f>
        <v>Gloss Black Machined Face</v>
      </c>
      <c r="J50" s="42">
        <f>8-4-4+20-4-4-4-4-1+4+5-4-4-4+8-1-4-3+5-4-1+8-1+4-4-4+5-4-4+8-4-4+8+4-4-4-4+8-4-4+4+12-4</f>
        <v>12</v>
      </c>
      <c r="K50" s="128" t="s">
        <v>1693</v>
      </c>
    </row>
    <row r="51" s="6" customFormat="1" ht="36" customHeight="1" spans="1:11">
      <c r="A51" s="131"/>
      <c r="B51" s="19" t="s">
        <v>1749</v>
      </c>
      <c r="C51" s="20" t="s">
        <v>789</v>
      </c>
      <c r="D51" s="20" t="s">
        <v>34</v>
      </c>
      <c r="E51" s="20" t="s">
        <v>13</v>
      </c>
      <c r="F51" s="20">
        <v>40</v>
      </c>
      <c r="G51" s="20">
        <v>72.56</v>
      </c>
      <c r="H51" s="20" t="s">
        <v>513</v>
      </c>
      <c r="I51" s="20" t="str">
        <f>VLOOKUP(H51,Sheet4!A:B,2)</f>
        <v>Gloss Black Machined Face</v>
      </c>
      <c r="J51" s="42">
        <f>12-4-4-4+8+4-4-4+4-4-4+4+4-4-4+4+4-4</f>
        <v>4</v>
      </c>
      <c r="K51" s="128" t="s">
        <v>1693</v>
      </c>
    </row>
    <row r="52" s="6" customFormat="1" ht="36" customHeight="1" spans="1:11">
      <c r="A52" s="132"/>
      <c r="B52" s="23" t="s">
        <v>1750</v>
      </c>
      <c r="C52" s="24" t="s">
        <v>789</v>
      </c>
      <c r="D52" s="24" t="s">
        <v>431</v>
      </c>
      <c r="E52" s="24" t="s">
        <v>13</v>
      </c>
      <c r="F52" s="24" t="s">
        <v>553</v>
      </c>
      <c r="G52" s="24">
        <v>72.56</v>
      </c>
      <c r="H52" s="24" t="s">
        <v>513</v>
      </c>
      <c r="I52" s="24" t="str">
        <f>VLOOKUP(H52,Sheet4!A:B,2)</f>
        <v>Gloss Black Machined Face</v>
      </c>
      <c r="J52" s="43">
        <f>12-4-4-4+4+4-4-4+4+4-4-4+12-4-4-4+4+8-1-4+1-4</f>
        <v>4</v>
      </c>
      <c r="K52" s="133" t="s">
        <v>1693</v>
      </c>
    </row>
    <row r="53" s="6" customFormat="1" ht="36" customHeight="1" spans="1:11">
      <c r="A53" s="82"/>
      <c r="B53" s="134" t="s">
        <v>1751</v>
      </c>
      <c r="C53" s="20" t="s">
        <v>789</v>
      </c>
      <c r="D53" s="20" t="s">
        <v>19</v>
      </c>
      <c r="E53" s="20" t="s">
        <v>13</v>
      </c>
      <c r="F53" s="20">
        <v>35</v>
      </c>
      <c r="G53" s="20">
        <v>72.56</v>
      </c>
      <c r="H53" s="20" t="s">
        <v>16</v>
      </c>
      <c r="I53" s="20" t="str">
        <f>VLOOKUP(H53,Sheet4!A:B,2)</f>
        <v>GLOSS BLACK</v>
      </c>
      <c r="J53" s="42">
        <v>0</v>
      </c>
      <c r="K53" s="128" t="s">
        <v>1693</v>
      </c>
    </row>
    <row r="54" s="6" customFormat="1" ht="36" customHeight="1" spans="1:11">
      <c r="A54" s="82"/>
      <c r="B54" s="134" t="s">
        <v>1752</v>
      </c>
      <c r="C54" s="20" t="s">
        <v>789</v>
      </c>
      <c r="D54" s="20" t="s">
        <v>39</v>
      </c>
      <c r="E54" s="20" t="s">
        <v>13</v>
      </c>
      <c r="F54" s="20">
        <v>38</v>
      </c>
      <c r="G54" s="20">
        <v>72.56</v>
      </c>
      <c r="H54" s="20" t="s">
        <v>16</v>
      </c>
      <c r="I54" s="20" t="str">
        <f>VLOOKUP(H54,Sheet4!A:B,2)</f>
        <v>GLOSS BLACK</v>
      </c>
      <c r="J54" s="42">
        <f>8+4-4-4-4+8-4-4+8-4-4+4-4+8-4-4+4-4+8-4-4+4-4+8-4-4+8-4+4-4-4</f>
        <v>0</v>
      </c>
      <c r="K54" s="128" t="s">
        <v>1693</v>
      </c>
    </row>
    <row r="55" s="6" customFormat="1" ht="36" customHeight="1" spans="1:11">
      <c r="A55" s="131"/>
      <c r="B55" s="19" t="s">
        <v>1753</v>
      </c>
      <c r="C55" s="20" t="s">
        <v>789</v>
      </c>
      <c r="D55" s="20" t="s">
        <v>39</v>
      </c>
      <c r="E55" s="20" t="s">
        <v>13</v>
      </c>
      <c r="F55" s="20">
        <v>38</v>
      </c>
      <c r="G55" s="20">
        <v>72.56</v>
      </c>
      <c r="H55" s="20" t="s">
        <v>560</v>
      </c>
      <c r="I55" s="20" t="str">
        <f>VLOOKUP(H55,Sheet4!A:B,2)</f>
        <v>Brushed  silver</v>
      </c>
      <c r="J55" s="42">
        <f>8-4-4</f>
        <v>0</v>
      </c>
      <c r="K55" s="128" t="s">
        <v>1693</v>
      </c>
    </row>
    <row r="56" s="6" customFormat="1" ht="36" customHeight="1" spans="1:11">
      <c r="A56" s="131"/>
      <c r="B56" s="19" t="s">
        <v>1754</v>
      </c>
      <c r="C56" s="20" t="s">
        <v>789</v>
      </c>
      <c r="D56" s="20" t="s">
        <v>39</v>
      </c>
      <c r="E56" s="20" t="s">
        <v>13</v>
      </c>
      <c r="F56" s="20">
        <v>38</v>
      </c>
      <c r="G56" s="20">
        <v>72.56</v>
      </c>
      <c r="H56" s="20" t="s">
        <v>288</v>
      </c>
      <c r="I56" s="20" t="str">
        <f>VLOOKUP(H56,Sheet4!A:B,2)</f>
        <v>MATTE GREY</v>
      </c>
      <c r="J56" s="42">
        <f>4-4+4-4+12-4</f>
        <v>8</v>
      </c>
      <c r="K56" s="128" t="s">
        <v>1693</v>
      </c>
    </row>
    <row r="57" s="6" customFormat="1" ht="36" customHeight="1" spans="1:11">
      <c r="A57" s="131"/>
      <c r="B57" s="19" t="s">
        <v>1755</v>
      </c>
      <c r="C57" s="20" t="s">
        <v>789</v>
      </c>
      <c r="D57" s="20" t="s">
        <v>34</v>
      </c>
      <c r="E57" s="20" t="s">
        <v>13</v>
      </c>
      <c r="F57" s="20" t="s">
        <v>553</v>
      </c>
      <c r="G57" s="20">
        <v>72.56</v>
      </c>
      <c r="H57" s="20" t="s">
        <v>16</v>
      </c>
      <c r="I57" s="20" t="str">
        <f>VLOOKUP(H57,Sheet4!A:B,2)</f>
        <v>GLOSS BLACK</v>
      </c>
      <c r="J57" s="42">
        <f>8+4-4-4-4+8-4-4+8-4-4+4-4+8-4+4-5+12+1-4-4-4-4+4+8-4-4</f>
        <v>4</v>
      </c>
      <c r="K57" s="128" t="s">
        <v>1693</v>
      </c>
    </row>
    <row r="58" s="6" customFormat="1" ht="36" customHeight="1" spans="1:11">
      <c r="A58" s="131"/>
      <c r="B58" s="19" t="s">
        <v>1756</v>
      </c>
      <c r="C58" s="20" t="s">
        <v>789</v>
      </c>
      <c r="D58" s="20" t="s">
        <v>34</v>
      </c>
      <c r="E58" s="20" t="s">
        <v>13</v>
      </c>
      <c r="F58" s="20">
        <v>40</v>
      </c>
      <c r="G58" s="20">
        <v>72.56</v>
      </c>
      <c r="H58" s="20" t="s">
        <v>560</v>
      </c>
      <c r="I58" s="20" t="str">
        <f>VLOOKUP(H58,Sheet4!A:B,2)</f>
        <v>Brushed  silver</v>
      </c>
      <c r="J58" s="42">
        <f>4+8-4-4</f>
        <v>4</v>
      </c>
      <c r="K58" s="128" t="s">
        <v>1693</v>
      </c>
    </row>
    <row r="59" s="6" customFormat="1" ht="36" customHeight="1" spans="1:11">
      <c r="A59" s="132"/>
      <c r="B59" s="23" t="s">
        <v>1757</v>
      </c>
      <c r="C59" s="24" t="s">
        <v>789</v>
      </c>
      <c r="D59" s="24" t="s">
        <v>431</v>
      </c>
      <c r="E59" s="24" t="s">
        <v>13</v>
      </c>
      <c r="F59" s="24">
        <v>38</v>
      </c>
      <c r="G59" s="24">
        <v>72.56</v>
      </c>
      <c r="H59" s="24" t="s">
        <v>16</v>
      </c>
      <c r="I59" s="24" t="str">
        <f>VLOOKUP(H59,Sheet4!A:B,2)</f>
        <v>GLOSS BLACK</v>
      </c>
      <c r="J59" s="43">
        <f>8-4+4-4-4+8-4-4+12-4</f>
        <v>8</v>
      </c>
      <c r="K59" s="133" t="s">
        <v>1693</v>
      </c>
    </row>
    <row r="60" s="6" customFormat="1" ht="114" customHeight="1" spans="1:11">
      <c r="A60" s="132"/>
      <c r="B60" s="23" t="s">
        <v>1758</v>
      </c>
      <c r="C60" s="24" t="s">
        <v>789</v>
      </c>
      <c r="D60" s="24" t="s">
        <v>31</v>
      </c>
      <c r="E60" s="24" t="s">
        <v>13</v>
      </c>
      <c r="F60" s="24">
        <v>38</v>
      </c>
      <c r="G60" s="24">
        <v>72.56</v>
      </c>
      <c r="H60" s="24" t="s">
        <v>439</v>
      </c>
      <c r="I60" s="24" t="str">
        <f>VLOOKUP(H60,Sheet4!A:B,2)</f>
        <v>Gunmetal Machine Face</v>
      </c>
      <c r="J60" s="43">
        <f>4</f>
        <v>4</v>
      </c>
      <c r="K60" s="101" t="s">
        <v>1693</v>
      </c>
    </row>
    <row r="61" s="6" customFormat="1" ht="23" customHeight="1" spans="1:11">
      <c r="A61" s="131"/>
      <c r="B61" s="19" t="s">
        <v>1759</v>
      </c>
      <c r="C61" s="20" t="s">
        <v>789</v>
      </c>
      <c r="D61" s="20" t="s">
        <v>19</v>
      </c>
      <c r="E61" s="20" t="s">
        <v>13</v>
      </c>
      <c r="F61" s="20">
        <v>38</v>
      </c>
      <c r="G61" s="20">
        <v>72.56</v>
      </c>
      <c r="H61" s="20" t="s">
        <v>21</v>
      </c>
      <c r="I61" s="20" t="str">
        <f>VLOOKUP(H61,Sheet4!A:B,2)</f>
        <v>Black Machine Face</v>
      </c>
      <c r="J61" s="42">
        <v>0</v>
      </c>
      <c r="K61" s="91" t="s">
        <v>1693</v>
      </c>
    </row>
    <row r="62" s="6" customFormat="1" ht="23" customHeight="1" spans="1:11">
      <c r="A62" s="131"/>
      <c r="B62" s="19" t="s">
        <v>1760</v>
      </c>
      <c r="C62" s="20" t="s">
        <v>789</v>
      </c>
      <c r="D62" s="20" t="s">
        <v>39</v>
      </c>
      <c r="E62" s="20" t="s">
        <v>13</v>
      </c>
      <c r="F62" s="20">
        <v>45</v>
      </c>
      <c r="G62" s="20">
        <v>72.56</v>
      </c>
      <c r="H62" s="20" t="s">
        <v>21</v>
      </c>
      <c r="I62" s="20" t="str">
        <f>VLOOKUP(H62,Sheet4!A:B,2)</f>
        <v>Black Machine Face</v>
      </c>
      <c r="J62" s="42">
        <f>8+4-4-4-4+16-4+4-4-4+4-4-4-4+8-4+4-4-4+8-4-4</f>
        <v>0</v>
      </c>
      <c r="K62" s="91" t="s">
        <v>1729</v>
      </c>
    </row>
    <row r="63" s="6" customFormat="1" ht="23" customHeight="1" spans="1:11">
      <c r="A63" s="131"/>
      <c r="B63" s="19" t="s">
        <v>1761</v>
      </c>
      <c r="C63" s="20" t="s">
        <v>789</v>
      </c>
      <c r="D63" s="20" t="s">
        <v>39</v>
      </c>
      <c r="E63" s="20" t="s">
        <v>13</v>
      </c>
      <c r="F63" s="20">
        <v>38</v>
      </c>
      <c r="G63" s="20">
        <v>72.56</v>
      </c>
      <c r="H63" s="20" t="s">
        <v>21</v>
      </c>
      <c r="I63" s="20" t="str">
        <f>VLOOKUP(H63,Sheet4!A:B,2)</f>
        <v>Black Machine Face</v>
      </c>
      <c r="J63" s="42">
        <f>20-4-4-4-4-4+4+8-4-4-4+4-4+20-4-4-4-4-4+8+4</f>
        <v>12</v>
      </c>
      <c r="K63" s="91" t="s">
        <v>1693</v>
      </c>
    </row>
    <row r="64" s="6" customFormat="1" ht="23" customHeight="1" spans="1:11">
      <c r="A64" s="131"/>
      <c r="B64" s="19" t="s">
        <v>1762</v>
      </c>
      <c r="C64" s="20" t="s">
        <v>789</v>
      </c>
      <c r="D64" s="20" t="s">
        <v>34</v>
      </c>
      <c r="E64" s="20" t="s">
        <v>13</v>
      </c>
      <c r="F64" s="20" t="s">
        <v>553</v>
      </c>
      <c r="G64" s="20">
        <v>72.56</v>
      </c>
      <c r="H64" s="20" t="s">
        <v>21</v>
      </c>
      <c r="I64" s="20" t="str">
        <f>VLOOKUP(H64,Sheet4!A:B,2)</f>
        <v>Black Machine Face</v>
      </c>
      <c r="J64" s="42">
        <f>4+4-4-4+12-4+4-4-4-4+4-1+1-4+4-4+8-4-4+12-4-4-4+8-4-4+4-4+8-4+4-4-4+4+8+4-4-4-1-4+1-1+12-4+4-4-4</f>
        <v>7</v>
      </c>
      <c r="K64" s="91" t="s">
        <v>1693</v>
      </c>
    </row>
    <row r="65" s="6" customFormat="1" ht="23" customHeight="1" spans="1:11">
      <c r="A65" s="131"/>
      <c r="B65" s="19" t="s">
        <v>1763</v>
      </c>
      <c r="C65" s="20" t="s">
        <v>789</v>
      </c>
      <c r="D65" s="20" t="s">
        <v>431</v>
      </c>
      <c r="E65" s="20" t="s">
        <v>13</v>
      </c>
      <c r="F65" s="20">
        <v>40</v>
      </c>
      <c r="G65" s="20">
        <v>72.56</v>
      </c>
      <c r="H65" s="20" t="s">
        <v>21</v>
      </c>
      <c r="I65" s="20" t="str">
        <f>VLOOKUP(H65,Sheet4!A:B,2)</f>
        <v>Black Machine Face</v>
      </c>
      <c r="J65" s="42">
        <f>12-4-4-1+20-4-4</f>
        <v>15</v>
      </c>
      <c r="K65" s="91" t="s">
        <v>1693</v>
      </c>
    </row>
    <row r="66" s="6" customFormat="1" ht="55" customHeight="1" spans="1:11">
      <c r="A66" s="135"/>
      <c r="B66" s="53" t="s">
        <v>1764</v>
      </c>
      <c r="C66" s="54" t="s">
        <v>789</v>
      </c>
      <c r="D66" s="54" t="s">
        <v>34</v>
      </c>
      <c r="E66" s="54" t="s">
        <v>13</v>
      </c>
      <c r="F66" s="54">
        <v>40</v>
      </c>
      <c r="G66" s="54">
        <v>72.56</v>
      </c>
      <c r="H66" s="54" t="s">
        <v>1765</v>
      </c>
      <c r="I66" s="54" t="str">
        <f>VLOOKUP(H66,Sheet4!A:B,2)</f>
        <v>Gunmetal Machine Face</v>
      </c>
      <c r="J66" s="55">
        <f>8+1+3-4-4-4</f>
        <v>0</v>
      </c>
      <c r="K66" s="136" t="s">
        <v>1693</v>
      </c>
    </row>
    <row r="67" s="6" customFormat="1" ht="55" customHeight="1" spans="1:11">
      <c r="A67" s="132"/>
      <c r="B67" s="23" t="s">
        <v>1766</v>
      </c>
      <c r="C67" s="24" t="s">
        <v>789</v>
      </c>
      <c r="D67" s="24" t="s">
        <v>431</v>
      </c>
      <c r="E67" s="24" t="s">
        <v>13</v>
      </c>
      <c r="F67" s="24">
        <v>40</v>
      </c>
      <c r="G67" s="24">
        <v>72.56</v>
      </c>
      <c r="H67" s="24" t="s">
        <v>1765</v>
      </c>
      <c r="I67" s="24" t="str">
        <f>VLOOKUP(H67,Sheet4!A:B,2)</f>
        <v>Gunmetal Machine Face</v>
      </c>
      <c r="J67" s="43">
        <f>8-4+4-4-4</f>
        <v>0</v>
      </c>
      <c r="K67" s="101" t="s">
        <v>1693</v>
      </c>
    </row>
    <row r="68" s="6" customFormat="1" ht="53" customHeight="1" spans="1:11">
      <c r="A68" s="131"/>
      <c r="B68" s="19" t="s">
        <v>1767</v>
      </c>
      <c r="C68" s="20" t="s">
        <v>789</v>
      </c>
      <c r="D68" s="20" t="s">
        <v>31</v>
      </c>
      <c r="E68" s="20" t="s">
        <v>13</v>
      </c>
      <c r="F68" s="20">
        <v>38</v>
      </c>
      <c r="G68" s="20">
        <v>72.56</v>
      </c>
      <c r="H68" s="20" t="s">
        <v>21</v>
      </c>
      <c r="I68" s="20" t="str">
        <f>VLOOKUP(H68,Sheet4!A:B,2)</f>
        <v>Black Machine Face</v>
      </c>
      <c r="J68" s="42">
        <f>4-4+4-4</f>
        <v>0</v>
      </c>
      <c r="K68" s="91" t="s">
        <v>1693</v>
      </c>
    </row>
    <row r="69" s="6" customFormat="1" ht="53" customHeight="1" spans="1:11">
      <c r="A69" s="131"/>
      <c r="B69" s="19" t="s">
        <v>1768</v>
      </c>
      <c r="C69" s="20" t="s">
        <v>789</v>
      </c>
      <c r="D69" s="20" t="s">
        <v>56</v>
      </c>
      <c r="E69" s="20" t="s">
        <v>13</v>
      </c>
      <c r="F69" s="20">
        <v>40</v>
      </c>
      <c r="G69" s="20">
        <v>72.56</v>
      </c>
      <c r="H69" s="20" t="s">
        <v>21</v>
      </c>
      <c r="I69" s="20" t="str">
        <f>VLOOKUP(H69,Sheet4!A:B,2)</f>
        <v>Black Machine Face</v>
      </c>
      <c r="J69" s="42">
        <f>4-4+4-4</f>
        <v>0</v>
      </c>
      <c r="K69" s="91" t="s">
        <v>1693</v>
      </c>
    </row>
    <row r="70" s="6" customFormat="1" ht="37" customHeight="1" spans="1:11">
      <c r="A70" s="137"/>
      <c r="B70" s="53" t="s">
        <v>1769</v>
      </c>
      <c r="C70" s="54" t="s">
        <v>1770</v>
      </c>
      <c r="D70" s="54" t="s">
        <v>1771</v>
      </c>
      <c r="E70" s="54" t="s">
        <v>13</v>
      </c>
      <c r="F70" s="54">
        <v>38</v>
      </c>
      <c r="G70" s="54">
        <v>72.56</v>
      </c>
      <c r="H70" s="54" t="s">
        <v>16</v>
      </c>
      <c r="I70" s="54" t="str">
        <f>VLOOKUP(H70,Sheet4!A:B,2)</f>
        <v>GLOSS BLACK</v>
      </c>
      <c r="J70" s="55">
        <f>4-4+8-4-4+4-4+12-8+12-4-4-4-4+4+4-4-4+4+4-4-4+8-4-4</f>
        <v>0</v>
      </c>
      <c r="K70" s="136" t="s">
        <v>1693</v>
      </c>
    </row>
    <row r="71" s="6" customFormat="1" ht="37" customHeight="1" spans="1:11">
      <c r="A71" s="129"/>
      <c r="B71" s="19" t="s">
        <v>1772</v>
      </c>
      <c r="C71" s="20" t="s">
        <v>1770</v>
      </c>
      <c r="D71" s="20" t="s">
        <v>1773</v>
      </c>
      <c r="E71" s="20" t="s">
        <v>13</v>
      </c>
      <c r="F71" s="20">
        <v>40</v>
      </c>
      <c r="G71" s="20">
        <v>72.56</v>
      </c>
      <c r="H71" s="20" t="s">
        <v>16</v>
      </c>
      <c r="I71" s="20" t="str">
        <f>VLOOKUP(H71,Sheet4!A:B,2)</f>
        <v>GLOSS BLACK</v>
      </c>
      <c r="J71" s="42">
        <f>12-4-4+12</f>
        <v>16</v>
      </c>
      <c r="K71" s="91" t="s">
        <v>1693</v>
      </c>
    </row>
    <row r="72" s="6" customFormat="1" ht="37" customHeight="1" spans="1:11">
      <c r="A72" s="130"/>
      <c r="B72" s="23" t="s">
        <v>1774</v>
      </c>
      <c r="C72" s="24" t="s">
        <v>1770</v>
      </c>
      <c r="D72" s="24" t="s">
        <v>1775</v>
      </c>
      <c r="E72" s="24" t="s">
        <v>13</v>
      </c>
      <c r="F72" s="24">
        <v>40</v>
      </c>
      <c r="G72" s="24">
        <v>72.56</v>
      </c>
      <c r="H72" s="24" t="s">
        <v>16</v>
      </c>
      <c r="I72" s="24" t="str">
        <f>VLOOKUP(H72,Sheet4!A:B,2)</f>
        <v>GLOSS BLACK</v>
      </c>
      <c r="J72" s="43">
        <f>8-4-4+8-4-4+4-4+8-4-4+4-4+4-4+4-4+8-4-4+8+8+4-4</f>
        <v>16</v>
      </c>
      <c r="K72" s="101" t="s">
        <v>1693</v>
      </c>
    </row>
    <row r="73" s="6" customFormat="1" ht="51" customHeight="1" spans="1:11">
      <c r="A73" s="131"/>
      <c r="B73" s="19" t="s">
        <v>1776</v>
      </c>
      <c r="C73" s="20" t="s">
        <v>1770</v>
      </c>
      <c r="D73" s="20" t="s">
        <v>31</v>
      </c>
      <c r="E73" s="20" t="s">
        <v>13</v>
      </c>
      <c r="F73" s="20">
        <v>38</v>
      </c>
      <c r="G73" s="20">
        <v>72.56</v>
      </c>
      <c r="H73" s="20" t="s">
        <v>53</v>
      </c>
      <c r="I73" s="20" t="str">
        <f>VLOOKUP(H73,Sheet4!A:B,2)</f>
        <v>polish</v>
      </c>
      <c r="J73" s="42">
        <f>4-4</f>
        <v>0</v>
      </c>
      <c r="K73" s="91" t="s">
        <v>1693</v>
      </c>
    </row>
    <row r="74" s="6" customFormat="1" ht="51" customHeight="1" spans="1:11">
      <c r="A74" s="131"/>
      <c r="B74" s="19" t="s">
        <v>1777</v>
      </c>
      <c r="C74" s="20" t="s">
        <v>1770</v>
      </c>
      <c r="D74" s="20" t="s">
        <v>34</v>
      </c>
      <c r="E74" s="20" t="s">
        <v>13</v>
      </c>
      <c r="F74" s="20">
        <v>40</v>
      </c>
      <c r="G74" s="20">
        <v>72.56</v>
      </c>
      <c r="H74" s="20" t="s">
        <v>1778</v>
      </c>
      <c r="I74" s="20" t="str">
        <f>VLOOKUP(H74,Sheet4!A:B,2)</f>
        <v>polish</v>
      </c>
      <c r="J74" s="42">
        <f>4-4+4-4</f>
        <v>0</v>
      </c>
      <c r="K74" s="91" t="s">
        <v>1693</v>
      </c>
    </row>
    <row r="75" s="6" customFormat="1" ht="48" customHeight="1" spans="1:11">
      <c r="A75" s="135"/>
      <c r="B75" s="53" t="s">
        <v>1779</v>
      </c>
      <c r="C75" s="54" t="s">
        <v>1770</v>
      </c>
      <c r="D75" s="54" t="s">
        <v>34</v>
      </c>
      <c r="E75" s="54" t="s">
        <v>13</v>
      </c>
      <c r="F75" s="54">
        <v>40</v>
      </c>
      <c r="G75" s="54">
        <v>72.56</v>
      </c>
      <c r="H75" s="54" t="s">
        <v>16</v>
      </c>
      <c r="I75" s="54" t="str">
        <f>VLOOKUP(H75,Sheet4!A:B,2)</f>
        <v>GLOSS BLACK</v>
      </c>
      <c r="J75" s="55">
        <f>12-4-4-4+4-4+4-4</f>
        <v>0</v>
      </c>
      <c r="K75" s="136" t="s">
        <v>1693</v>
      </c>
    </row>
    <row r="76" s="6" customFormat="1" ht="48" customHeight="1" spans="1:11">
      <c r="A76" s="132"/>
      <c r="B76" s="23" t="s">
        <v>1780</v>
      </c>
      <c r="C76" s="24" t="s">
        <v>1770</v>
      </c>
      <c r="D76" s="24" t="s">
        <v>431</v>
      </c>
      <c r="E76" s="24" t="s">
        <v>13</v>
      </c>
      <c r="F76" s="24">
        <v>40</v>
      </c>
      <c r="G76" s="24">
        <v>72.56</v>
      </c>
      <c r="H76" s="24" t="s">
        <v>16</v>
      </c>
      <c r="I76" s="24" t="str">
        <f>VLOOKUP(H76,Sheet4!A:B,2)</f>
        <v>GLOSS BLACK</v>
      </c>
      <c r="J76" s="43">
        <f>12-4-4-4+20-4-4-4-4-4</f>
        <v>0</v>
      </c>
      <c r="K76" s="101" t="s">
        <v>1693</v>
      </c>
    </row>
    <row r="77" s="6" customFormat="1" ht="54" customHeight="1" spans="1:11">
      <c r="A77" s="137"/>
      <c r="B77" s="53" t="s">
        <v>1781</v>
      </c>
      <c r="C77" s="54" t="s">
        <v>1782</v>
      </c>
      <c r="D77" s="54" t="s">
        <v>34</v>
      </c>
      <c r="E77" s="54" t="s">
        <v>13</v>
      </c>
      <c r="F77" s="54">
        <v>40</v>
      </c>
      <c r="G77" s="54">
        <v>72.56</v>
      </c>
      <c r="H77" s="54" t="s">
        <v>21</v>
      </c>
      <c r="I77" s="54" t="str">
        <f>VLOOKUP(H77,Sheet4!A:B,2)</f>
        <v>Black Machine Face</v>
      </c>
      <c r="J77" s="55">
        <v>0</v>
      </c>
      <c r="K77" s="136" t="s">
        <v>1693</v>
      </c>
    </row>
    <row r="78" s="6" customFormat="1" ht="54" customHeight="1" spans="1:11">
      <c r="A78" s="132"/>
      <c r="B78" s="23" t="s">
        <v>1783</v>
      </c>
      <c r="C78" s="24" t="s">
        <v>1782</v>
      </c>
      <c r="D78" s="24" t="s">
        <v>431</v>
      </c>
      <c r="E78" s="24" t="s">
        <v>13</v>
      </c>
      <c r="F78" s="24">
        <v>40</v>
      </c>
      <c r="G78" s="24">
        <v>72.56</v>
      </c>
      <c r="H78" s="24" t="s">
        <v>21</v>
      </c>
      <c r="I78" s="24" t="str">
        <f>VLOOKUP(H78,Sheet4!A:B,2)</f>
        <v>Black Machine Face</v>
      </c>
      <c r="J78" s="43">
        <f>4+4-4-4</f>
        <v>0</v>
      </c>
      <c r="K78" s="101" t="s">
        <v>1693</v>
      </c>
    </row>
    <row r="79" s="6" customFormat="1" ht="54" customHeight="1" spans="1:11">
      <c r="A79" s="131"/>
      <c r="B79" s="53" t="s">
        <v>1784</v>
      </c>
      <c r="C79" s="54" t="s">
        <v>1785</v>
      </c>
      <c r="D79" s="54" t="s">
        <v>39</v>
      </c>
      <c r="E79" s="54" t="s">
        <v>13</v>
      </c>
      <c r="F79" s="54">
        <v>40</v>
      </c>
      <c r="G79" s="54">
        <v>72.56</v>
      </c>
      <c r="H79" s="54" t="s">
        <v>87</v>
      </c>
      <c r="I79" s="54" t="str">
        <f>VLOOKUP(H79,Sheet4!A:B,2)</f>
        <v>Gunmetal Machine Face</v>
      </c>
      <c r="J79" s="55">
        <f>8-4-1+5-4-4+1+3-4+8-4-1+1-4+8-4-4</f>
        <v>0</v>
      </c>
      <c r="K79" s="136"/>
    </row>
    <row r="80" s="6" customFormat="1" ht="54" customHeight="1" spans="1:11">
      <c r="A80" s="132"/>
      <c r="B80" s="23" t="s">
        <v>1786</v>
      </c>
      <c r="C80" s="24" t="s">
        <v>1785</v>
      </c>
      <c r="D80" s="24" t="s">
        <v>34</v>
      </c>
      <c r="E80" s="24" t="s">
        <v>13</v>
      </c>
      <c r="F80" s="24">
        <v>40</v>
      </c>
      <c r="G80" s="24">
        <v>72.56</v>
      </c>
      <c r="H80" s="24" t="s">
        <v>87</v>
      </c>
      <c r="I80" s="24" t="str">
        <f>VLOOKUP(H80,Sheet4!A:B,2)</f>
        <v>Gunmetal Machine Face</v>
      </c>
      <c r="J80" s="43">
        <f>1-1+4-4+4+4-4-4</f>
        <v>0</v>
      </c>
      <c r="K80" s="101"/>
    </row>
    <row r="81" s="6" customFormat="1" ht="57" customHeight="1" spans="1:11">
      <c r="A81" s="137"/>
      <c r="B81" s="53" t="s">
        <v>1787</v>
      </c>
      <c r="C81" s="54" t="s">
        <v>1788</v>
      </c>
      <c r="D81" s="54" t="s">
        <v>39</v>
      </c>
      <c r="E81" s="54" t="s">
        <v>13</v>
      </c>
      <c r="F81" s="54">
        <v>45</v>
      </c>
      <c r="G81" s="54">
        <v>72.56</v>
      </c>
      <c r="H81" s="54" t="s">
        <v>1789</v>
      </c>
      <c r="I81" s="54" t="str">
        <f>VLOOKUP(H81,Sheet4!A:B,2)</f>
        <v>Gloss Black Machined Face</v>
      </c>
      <c r="J81" s="55">
        <v>4</v>
      </c>
      <c r="K81" s="136"/>
    </row>
    <row r="82" s="6" customFormat="1" ht="57" customHeight="1" spans="1:11">
      <c r="A82" s="130"/>
      <c r="B82" s="23" t="s">
        <v>1790</v>
      </c>
      <c r="C82" s="24" t="s">
        <v>1788</v>
      </c>
      <c r="D82" s="24" t="s">
        <v>34</v>
      </c>
      <c r="E82" s="24" t="s">
        <v>13</v>
      </c>
      <c r="F82" s="24">
        <v>49</v>
      </c>
      <c r="G82" s="24">
        <v>72.56</v>
      </c>
      <c r="H82" s="24" t="s">
        <v>1791</v>
      </c>
      <c r="I82" s="24" t="str">
        <f>VLOOKUP(H82,Sheet4!A:B,2)</f>
        <v>Gloss Black Machined Face</v>
      </c>
      <c r="J82" s="43">
        <v>0</v>
      </c>
      <c r="K82" s="101"/>
    </row>
    <row r="83" ht="21" customHeight="1" spans="1:11">
      <c r="A83" s="129"/>
      <c r="B83" s="99" t="s">
        <v>1792</v>
      </c>
      <c r="C83" s="20" t="s">
        <v>1793</v>
      </c>
      <c r="D83" s="20" t="s">
        <v>23</v>
      </c>
      <c r="E83" s="20" t="s">
        <v>20</v>
      </c>
      <c r="F83" s="20">
        <v>45</v>
      </c>
      <c r="G83" s="20">
        <v>63.4</v>
      </c>
      <c r="H83" s="20" t="s">
        <v>21</v>
      </c>
      <c r="I83" s="20" t="str">
        <f>VLOOKUP(H83,Sheet4!A:B,2)</f>
        <v>Black Machine Face</v>
      </c>
      <c r="J83" s="21">
        <f>4-4+4-4+4-4</f>
        <v>0</v>
      </c>
      <c r="K83" s="128"/>
    </row>
    <row r="84" ht="21" customHeight="1" spans="1:11">
      <c r="A84" s="129"/>
      <c r="B84" s="99" t="s">
        <v>1794</v>
      </c>
      <c r="C84" s="20" t="s">
        <v>1795</v>
      </c>
      <c r="D84" s="20" t="s">
        <v>23</v>
      </c>
      <c r="E84" s="20" t="s">
        <v>13</v>
      </c>
      <c r="F84" s="20">
        <v>45</v>
      </c>
      <c r="G84" s="20">
        <v>72.56</v>
      </c>
      <c r="H84" s="20" t="s">
        <v>21</v>
      </c>
      <c r="I84" s="20" t="str">
        <f>VLOOKUP(H84,Sheet4!A:B,2)</f>
        <v>Black Machine Face</v>
      </c>
      <c r="J84" s="21">
        <f>4-4+4-4+4-4+8-4+8-4-4-4</f>
        <v>0</v>
      </c>
      <c r="K84" s="138"/>
    </row>
    <row r="85" ht="21" customHeight="1" spans="1:11">
      <c r="A85" s="139"/>
      <c r="B85" s="99" t="s">
        <v>1796</v>
      </c>
      <c r="C85" s="20" t="s">
        <v>1795</v>
      </c>
      <c r="D85" s="20" t="s">
        <v>19</v>
      </c>
      <c r="E85" s="20" t="s">
        <v>13</v>
      </c>
      <c r="F85" s="20">
        <v>45</v>
      </c>
      <c r="G85" s="20">
        <v>72.56</v>
      </c>
      <c r="H85" s="20" t="s">
        <v>21</v>
      </c>
      <c r="I85" s="20" t="str">
        <f>VLOOKUP(H85,Sheet4!A:B,2)</f>
        <v>Black Machine Face</v>
      </c>
      <c r="J85" s="21">
        <f>4-4+4-4+4-4+4</f>
        <v>4</v>
      </c>
      <c r="K85" s="138"/>
    </row>
    <row r="86" ht="21" customHeight="1" spans="1:11">
      <c r="A86" s="139"/>
      <c r="B86" s="99" t="s">
        <v>1797</v>
      </c>
      <c r="C86" s="20" t="s">
        <v>1795</v>
      </c>
      <c r="D86" s="19" t="s">
        <v>19</v>
      </c>
      <c r="E86" s="20" t="s">
        <v>13</v>
      </c>
      <c r="F86" s="20">
        <v>45</v>
      </c>
      <c r="G86" s="20">
        <v>72.56</v>
      </c>
      <c r="H86" s="20" t="s">
        <v>16</v>
      </c>
      <c r="I86" s="20" t="str">
        <f>VLOOKUP(H86,Sheet4!A:B,2)</f>
        <v>GLOSS BLACK</v>
      </c>
      <c r="J86" s="21">
        <f>8-4-4+4-4+4-4+4-4+4+4-4+4-4-4</f>
        <v>0</v>
      </c>
      <c r="K86" s="138"/>
    </row>
    <row r="87" ht="21" customHeight="1" spans="1:11">
      <c r="A87" s="139"/>
      <c r="B87" s="99" t="s">
        <v>1798</v>
      </c>
      <c r="C87" s="20" t="s">
        <v>1795</v>
      </c>
      <c r="D87" s="20" t="s">
        <v>19</v>
      </c>
      <c r="E87" s="20" t="s">
        <v>13</v>
      </c>
      <c r="F87" s="20">
        <v>45</v>
      </c>
      <c r="G87" s="20">
        <v>72.56</v>
      </c>
      <c r="H87" s="20" t="s">
        <v>439</v>
      </c>
      <c r="I87" s="20" t="str">
        <f>VLOOKUP(H87,Sheet4!A:B,2)</f>
        <v>Gunmetal Machine Face</v>
      </c>
      <c r="J87" s="21">
        <f>4-4</f>
        <v>0</v>
      </c>
      <c r="K87" s="138"/>
    </row>
    <row r="88" ht="21" customHeight="1" spans="1:11">
      <c r="A88" s="139"/>
      <c r="B88" s="99" t="s">
        <v>1799</v>
      </c>
      <c r="C88" s="20" t="s">
        <v>1793</v>
      </c>
      <c r="D88" s="20" t="s">
        <v>19</v>
      </c>
      <c r="E88" s="20" t="s">
        <v>20</v>
      </c>
      <c r="F88" s="20">
        <v>40</v>
      </c>
      <c r="G88" s="20">
        <v>63.4</v>
      </c>
      <c r="H88" s="20" t="s">
        <v>21</v>
      </c>
      <c r="I88" s="20" t="str">
        <f>VLOOKUP(H88,Sheet4!A:B,2)</f>
        <v>Black Machine Face</v>
      </c>
      <c r="J88" s="21">
        <f>4-4+4</f>
        <v>4</v>
      </c>
      <c r="K88" s="138"/>
    </row>
    <row r="89" s="6" customFormat="1" ht="21" customHeight="1" spans="1:11">
      <c r="A89" s="139"/>
      <c r="B89" s="99" t="s">
        <v>1800</v>
      </c>
      <c r="C89" s="20" t="s">
        <v>1795</v>
      </c>
      <c r="D89" s="65" t="s">
        <v>1801</v>
      </c>
      <c r="E89" s="19" t="s">
        <v>13</v>
      </c>
      <c r="F89" s="65">
        <v>40</v>
      </c>
      <c r="G89" s="65">
        <v>72.56</v>
      </c>
      <c r="H89" s="65" t="s">
        <v>21</v>
      </c>
      <c r="I89" s="65" t="str">
        <f>VLOOKUP(H89,Sheet4!A:B,2)</f>
        <v>Black Machine Face</v>
      </c>
      <c r="J89" s="42">
        <f>1</f>
        <v>1</v>
      </c>
      <c r="K89" s="91"/>
    </row>
    <row r="90" s="6" customFormat="1" ht="21" customHeight="1" spans="1:11">
      <c r="A90" s="139"/>
      <c r="B90" s="99" t="s">
        <v>1802</v>
      </c>
      <c r="C90" s="20" t="s">
        <v>1803</v>
      </c>
      <c r="D90" s="65" t="s">
        <v>1669</v>
      </c>
      <c r="E90" s="65" t="s">
        <v>13</v>
      </c>
      <c r="F90" s="65">
        <v>45</v>
      </c>
      <c r="G90" s="65">
        <v>72.56</v>
      </c>
      <c r="H90" s="65" t="s">
        <v>21</v>
      </c>
      <c r="I90" s="65" t="str">
        <f>VLOOKUP(H90,Sheet4!A:B,2)</f>
        <v>Black Machine Face</v>
      </c>
      <c r="J90" s="21">
        <v>1</v>
      </c>
      <c r="K90" s="128"/>
    </row>
    <row r="91" s="8" customFormat="1" ht="21" customHeight="1" spans="1:11">
      <c r="A91" s="139"/>
      <c r="B91" s="99" t="s">
        <v>1804</v>
      </c>
      <c r="C91" s="20" t="s">
        <v>1803</v>
      </c>
      <c r="D91" s="20" t="s">
        <v>39</v>
      </c>
      <c r="E91" s="20" t="s">
        <v>13</v>
      </c>
      <c r="F91" s="20">
        <v>40</v>
      </c>
      <c r="G91" s="20">
        <v>72.56</v>
      </c>
      <c r="H91" s="20" t="s">
        <v>21</v>
      </c>
      <c r="I91" s="20" t="str">
        <f>VLOOKUP(H91,Sheet4!A:B,2)</f>
        <v>Black Machine Face</v>
      </c>
      <c r="J91" s="21">
        <v>1</v>
      </c>
      <c r="K91" s="128"/>
    </row>
    <row r="92" s="8" customFormat="1" ht="21" customHeight="1" spans="1:11">
      <c r="A92" s="139"/>
      <c r="B92" s="99" t="s">
        <v>1805</v>
      </c>
      <c r="C92" s="20" t="s">
        <v>1793</v>
      </c>
      <c r="D92" s="20" t="s">
        <v>39</v>
      </c>
      <c r="E92" s="20" t="s">
        <v>20</v>
      </c>
      <c r="F92" s="20">
        <v>40</v>
      </c>
      <c r="G92" s="20">
        <v>63.4</v>
      </c>
      <c r="H92" s="20" t="s">
        <v>21</v>
      </c>
      <c r="I92" s="20" t="str">
        <f>VLOOKUP(H92,Sheet4!A:B,2)</f>
        <v>Black Machine Face</v>
      </c>
      <c r="J92" s="21">
        <f>4-4+4</f>
        <v>4</v>
      </c>
      <c r="K92" s="138"/>
    </row>
    <row r="93" s="8" customFormat="1" ht="21" customHeight="1" spans="1:11">
      <c r="A93" s="139"/>
      <c r="B93" s="99" t="s">
        <v>1806</v>
      </c>
      <c r="C93" s="20" t="s">
        <v>1807</v>
      </c>
      <c r="D93" s="20" t="s">
        <v>39</v>
      </c>
      <c r="E93" s="20" t="s">
        <v>13</v>
      </c>
      <c r="F93" s="20">
        <v>40</v>
      </c>
      <c r="G93" s="20">
        <v>72.56</v>
      </c>
      <c r="H93" s="20" t="s">
        <v>21</v>
      </c>
      <c r="I93" s="20" t="str">
        <f>VLOOKUP(H93,Sheet4!A:B,2)</f>
        <v>Black Machine Face</v>
      </c>
      <c r="J93" s="21">
        <f>4-4</f>
        <v>0</v>
      </c>
      <c r="K93" s="120"/>
    </row>
    <row r="94" ht="21" customHeight="1" spans="1:11">
      <c r="A94" s="139"/>
      <c r="B94" s="99" t="s">
        <v>1808</v>
      </c>
      <c r="C94" s="20" t="s">
        <v>1795</v>
      </c>
      <c r="D94" s="20" t="s">
        <v>39</v>
      </c>
      <c r="E94" s="20" t="s">
        <v>13</v>
      </c>
      <c r="F94" s="20">
        <v>45</v>
      </c>
      <c r="G94" s="20">
        <v>72.56</v>
      </c>
      <c r="H94" s="20" t="s">
        <v>87</v>
      </c>
      <c r="I94" s="20" t="str">
        <f>VLOOKUP(H94,Sheet4!A:B,2)</f>
        <v>Gunmetal Machine Face</v>
      </c>
      <c r="J94" s="21">
        <f>8+4-1-1+1-4-4+4+4-4-4+5-4-4+4-4+4+8-4-4-4+8-4-4+12-4-4-4</f>
        <v>0</v>
      </c>
    </row>
    <row r="95" ht="21" customHeight="1" spans="1:11">
      <c r="A95" s="139"/>
      <c r="B95" s="99" t="s">
        <v>1809</v>
      </c>
      <c r="C95" s="20" t="s">
        <v>1795</v>
      </c>
      <c r="D95" s="20" t="s">
        <v>39</v>
      </c>
      <c r="E95" s="20" t="s">
        <v>13</v>
      </c>
      <c r="F95" s="20">
        <v>45</v>
      </c>
      <c r="G95" s="20">
        <v>72.56</v>
      </c>
      <c r="H95" s="20" t="s">
        <v>21</v>
      </c>
      <c r="I95" s="20" t="str">
        <f>VLOOKUP(H95,Sheet4!A:B,2)</f>
        <v>Black Machine Face</v>
      </c>
      <c r="J95" s="21">
        <f>4-4+8-4-4+4+8+4-4-4-4-4+4-4+8-4-4+12-4-4+4-4-4+12-4</f>
        <v>8</v>
      </c>
      <c r="K95" s="138"/>
    </row>
    <row r="96" ht="21" customHeight="1" spans="1:11">
      <c r="A96" s="139"/>
      <c r="B96" s="99" t="s">
        <v>1810</v>
      </c>
      <c r="C96" s="20" t="s">
        <v>1795</v>
      </c>
      <c r="D96" s="20" t="s">
        <v>39</v>
      </c>
      <c r="E96" s="20" t="s">
        <v>13</v>
      </c>
      <c r="F96" s="20">
        <v>45</v>
      </c>
      <c r="G96" s="20">
        <v>72.56</v>
      </c>
      <c r="H96" s="20" t="s">
        <v>16</v>
      </c>
      <c r="I96" s="20" t="str">
        <f>VLOOKUP(H96,Sheet4!A:B,2)</f>
        <v>GLOSS BLACK</v>
      </c>
      <c r="J96" s="21">
        <f>10-4-4+4-4+4-4+8-4-4+8-4+4-4-4+4-1+4-4</f>
        <v>5</v>
      </c>
      <c r="K96" s="138"/>
    </row>
    <row r="97" ht="21" customHeight="1" spans="1:11">
      <c r="A97" s="139"/>
      <c r="B97" s="99" t="s">
        <v>1811</v>
      </c>
      <c r="C97" s="20" t="s">
        <v>1795</v>
      </c>
      <c r="D97" s="20" t="s">
        <v>34</v>
      </c>
      <c r="E97" s="20" t="s">
        <v>13</v>
      </c>
      <c r="F97" s="20">
        <v>45</v>
      </c>
      <c r="G97" s="20">
        <v>72.56</v>
      </c>
      <c r="H97" s="20" t="s">
        <v>87</v>
      </c>
      <c r="I97" s="20" t="str">
        <f>VLOOKUP(H97,Sheet4!A:B,2)</f>
        <v>Gunmetal Machine Face</v>
      </c>
      <c r="J97" s="21">
        <f>2+4+4-4+2-4+4-4-4+4-4+8-2-4-1+4-4-1</f>
        <v>0</v>
      </c>
      <c r="K97" s="138"/>
    </row>
    <row r="98" ht="21" customHeight="1" spans="1:11">
      <c r="A98" s="139"/>
      <c r="B98" s="99" t="s">
        <v>1812</v>
      </c>
      <c r="C98" s="20" t="s">
        <v>1795</v>
      </c>
      <c r="D98" s="20" t="s">
        <v>34</v>
      </c>
      <c r="E98" s="20" t="s">
        <v>13</v>
      </c>
      <c r="F98" s="20">
        <v>45</v>
      </c>
      <c r="G98" s="20">
        <v>72.56</v>
      </c>
      <c r="H98" s="20" t="s">
        <v>36</v>
      </c>
      <c r="I98" s="20" t="str">
        <f>VLOOKUP(H98,Sheet4!A:B,2)</f>
        <v>Black Machine Face</v>
      </c>
      <c r="J98" s="21">
        <v>0</v>
      </c>
      <c r="K98" s="138"/>
    </row>
    <row r="99" ht="21" customHeight="1" spans="1:11">
      <c r="A99" s="139"/>
      <c r="B99" s="99" t="s">
        <v>1813</v>
      </c>
      <c r="C99" s="20" t="s">
        <v>1795</v>
      </c>
      <c r="D99" s="20" t="s">
        <v>34</v>
      </c>
      <c r="E99" s="20" t="s">
        <v>13</v>
      </c>
      <c r="F99" s="20">
        <v>45</v>
      </c>
      <c r="G99" s="20">
        <v>72.56</v>
      </c>
      <c r="H99" s="20" t="s">
        <v>16</v>
      </c>
      <c r="I99" s="20" t="str">
        <f>VLOOKUP(H99,Sheet4!A:B,2)</f>
        <v>GLOSS BLACK</v>
      </c>
      <c r="J99" s="21">
        <f>4-4+4-4+8-4-4+12+4-1-8-1</f>
        <v>6</v>
      </c>
      <c r="K99" s="138"/>
    </row>
    <row r="100" s="6" customFormat="1" ht="21" customHeight="1" spans="1:11">
      <c r="A100" s="84"/>
      <c r="B100" s="100" t="s">
        <v>1814</v>
      </c>
      <c r="C100" s="24" t="s">
        <v>1815</v>
      </c>
      <c r="D100" s="24" t="s">
        <v>431</v>
      </c>
      <c r="E100" s="24" t="s">
        <v>13</v>
      </c>
      <c r="F100" s="24">
        <v>40</v>
      </c>
      <c r="G100" s="24">
        <v>72.56</v>
      </c>
      <c r="H100" s="24" t="s">
        <v>87</v>
      </c>
      <c r="I100" s="24" t="str">
        <f>VLOOKUP(H100,Sheet4!A:B,2)</f>
        <v>Gunmetal Machine Face</v>
      </c>
      <c r="J100" s="114">
        <v>4</v>
      </c>
      <c r="K100" s="140" t="s">
        <v>1693</v>
      </c>
    </row>
    <row r="101" s="6" customFormat="1" ht="25" customHeight="1" spans="1:11">
      <c r="A101" s="44"/>
      <c r="B101" s="141" t="s">
        <v>1816</v>
      </c>
      <c r="C101" s="20" t="s">
        <v>1793</v>
      </c>
      <c r="D101" s="142" t="s">
        <v>23</v>
      </c>
      <c r="E101" s="142" t="s">
        <v>20</v>
      </c>
      <c r="F101" s="142">
        <v>45</v>
      </c>
      <c r="G101" s="142">
        <v>63.4</v>
      </c>
      <c r="H101" s="20" t="s">
        <v>16</v>
      </c>
      <c r="I101" s="20" t="str">
        <f>VLOOKUP(H101,Sheet4!A:B,2)</f>
        <v>GLOSS BLACK</v>
      </c>
      <c r="J101" s="42">
        <f>12-4-4-4+8-4-4</f>
        <v>0</v>
      </c>
      <c r="K101" s="143" t="s">
        <v>1693</v>
      </c>
    </row>
    <row r="102" s="6" customFormat="1" ht="25" customHeight="1" spans="1:11">
      <c r="A102" s="44"/>
      <c r="B102" s="141" t="s">
        <v>1817</v>
      </c>
      <c r="C102" s="20" t="s">
        <v>1793</v>
      </c>
      <c r="D102" s="142" t="s">
        <v>23</v>
      </c>
      <c r="E102" s="142" t="s">
        <v>20</v>
      </c>
      <c r="F102" s="142">
        <v>45</v>
      </c>
      <c r="G102" s="142">
        <v>63.4</v>
      </c>
      <c r="H102" s="20" t="s">
        <v>21</v>
      </c>
      <c r="I102" s="20" t="str">
        <f>VLOOKUP(H102,Sheet4!A:B,2)</f>
        <v>Black Machine Face</v>
      </c>
      <c r="J102" s="42">
        <f>4-4+8-4-4+8-4-4+8</f>
        <v>8</v>
      </c>
      <c r="K102" s="144"/>
    </row>
    <row r="103" s="6" customFormat="1" ht="25" customHeight="1" spans="1:11">
      <c r="A103" s="44"/>
      <c r="B103" s="141" t="s">
        <v>1818</v>
      </c>
      <c r="C103" s="20" t="s">
        <v>1788</v>
      </c>
      <c r="D103" s="142" t="s">
        <v>23</v>
      </c>
      <c r="E103" s="142" t="s">
        <v>13</v>
      </c>
      <c r="F103" s="142">
        <v>45</v>
      </c>
      <c r="G103" s="142">
        <v>72.56</v>
      </c>
      <c r="H103" s="20" t="s">
        <v>21</v>
      </c>
      <c r="I103" s="20" t="str">
        <f>VLOOKUP(H103,Sheet4!A:B,2)</f>
        <v>Black Machine Face</v>
      </c>
      <c r="J103" s="42">
        <f>8-4-4+4-4</f>
        <v>0</v>
      </c>
      <c r="K103" s="143"/>
    </row>
    <row r="104" s="6" customFormat="1" ht="25" customHeight="1" spans="1:11">
      <c r="A104" s="18"/>
      <c r="B104" s="141" t="s">
        <v>1819</v>
      </c>
      <c r="C104" s="20" t="s">
        <v>1788</v>
      </c>
      <c r="D104" s="142" t="s">
        <v>19</v>
      </c>
      <c r="E104" s="142" t="s">
        <v>13</v>
      </c>
      <c r="F104" s="142">
        <v>45</v>
      </c>
      <c r="G104" s="142">
        <v>72.56</v>
      </c>
      <c r="H104" s="20" t="s">
        <v>16</v>
      </c>
      <c r="I104" s="20" t="str">
        <f>VLOOKUP(H104,Sheet4!A:B,2)</f>
        <v>GLOSS BLACK</v>
      </c>
      <c r="J104" s="42">
        <f>4+4-4-4+4-4+4-4+8-4-4+4-4+4+4-4-4+8</f>
        <v>8</v>
      </c>
      <c r="K104" s="91"/>
    </row>
    <row r="105" s="6" customFormat="1" ht="25" customHeight="1" spans="1:11">
      <c r="A105" s="18"/>
      <c r="B105" s="141" t="s">
        <v>1820</v>
      </c>
      <c r="C105" s="20" t="s">
        <v>1788</v>
      </c>
      <c r="D105" s="142" t="s">
        <v>225</v>
      </c>
      <c r="E105" s="142" t="s">
        <v>13</v>
      </c>
      <c r="F105" s="142">
        <v>45</v>
      </c>
      <c r="G105" s="142">
        <v>72.56</v>
      </c>
      <c r="H105" s="20" t="s">
        <v>87</v>
      </c>
      <c r="I105" s="20" t="str">
        <f>VLOOKUP(H105,Sheet4!A:B,2)</f>
        <v>Gunmetal Machine Face</v>
      </c>
      <c r="J105" s="42">
        <f>4-4+4-4</f>
        <v>0</v>
      </c>
      <c r="K105" s="91"/>
    </row>
    <row r="106" s="6" customFormat="1" ht="25" customHeight="1" spans="1:11">
      <c r="A106" s="18"/>
      <c r="B106" s="141" t="s">
        <v>1821</v>
      </c>
      <c r="C106" s="20" t="s">
        <v>1788</v>
      </c>
      <c r="D106" s="142" t="s">
        <v>19</v>
      </c>
      <c r="E106" s="142" t="s">
        <v>13</v>
      </c>
      <c r="F106" s="142">
        <v>45</v>
      </c>
      <c r="G106" s="142">
        <v>72.56</v>
      </c>
      <c r="H106" s="20" t="s">
        <v>21</v>
      </c>
      <c r="I106" s="20" t="str">
        <f>VLOOKUP(H106,Sheet4!A:B,2)</f>
        <v>Black Machine Face</v>
      </c>
      <c r="J106" s="42">
        <f>4-1+1-4+4-4+8+4-4-4-4+4-4+4</f>
        <v>4</v>
      </c>
      <c r="K106" s="91"/>
    </row>
    <row r="107" s="6" customFormat="1" ht="25" customHeight="1" spans="1:11">
      <c r="A107" s="18"/>
      <c r="B107" s="141" t="s">
        <v>1822</v>
      </c>
      <c r="C107" s="20" t="s">
        <v>1793</v>
      </c>
      <c r="D107" s="142" t="s">
        <v>19</v>
      </c>
      <c r="E107" s="142" t="s">
        <v>20</v>
      </c>
      <c r="F107" s="142">
        <v>40</v>
      </c>
      <c r="G107" s="142">
        <v>63.4</v>
      </c>
      <c r="H107" s="20" t="s">
        <v>21</v>
      </c>
      <c r="I107" s="20" t="str">
        <f>VLOOKUP(H107,Sheet4!A:B,2)</f>
        <v>Black Machine Face</v>
      </c>
      <c r="J107" s="21">
        <f>8-4-4</f>
        <v>0</v>
      </c>
      <c r="K107" s="128"/>
    </row>
    <row r="108" s="6" customFormat="1" ht="25" customHeight="1" spans="1:11">
      <c r="A108" s="18"/>
      <c r="B108" s="141" t="s">
        <v>1823</v>
      </c>
      <c r="C108" s="20" t="s">
        <v>1793</v>
      </c>
      <c r="D108" s="142" t="s">
        <v>29</v>
      </c>
      <c r="E108" s="142" t="s">
        <v>20</v>
      </c>
      <c r="F108" s="142">
        <v>40</v>
      </c>
      <c r="G108" s="142">
        <v>63.4</v>
      </c>
      <c r="H108" s="20" t="s">
        <v>16</v>
      </c>
      <c r="I108" s="20" t="str">
        <f>VLOOKUP(H108,Sheet4!A:B,2)</f>
        <v>GLOSS BLACK</v>
      </c>
      <c r="J108" s="21">
        <f>4-4+8-4+4-4-4+4-4+8</f>
        <v>8</v>
      </c>
      <c r="K108" s="128"/>
    </row>
    <row r="109" s="6" customFormat="1" ht="25" customHeight="1" spans="1:11">
      <c r="A109" s="18"/>
      <c r="B109" s="141" t="s">
        <v>1824</v>
      </c>
      <c r="C109" s="20" t="s">
        <v>1788</v>
      </c>
      <c r="D109" s="142" t="s">
        <v>39</v>
      </c>
      <c r="E109" s="142" t="s">
        <v>13</v>
      </c>
      <c r="F109" s="142">
        <v>45</v>
      </c>
      <c r="G109" s="142">
        <v>72.56</v>
      </c>
      <c r="H109" s="20" t="s">
        <v>21</v>
      </c>
      <c r="I109" s="20" t="str">
        <f>VLOOKUP(H109,Sheet4!A:B,2)</f>
        <v>Black Machine Face</v>
      </c>
      <c r="J109" s="42">
        <f>8-4+4-4-4+4-4+4-4+4-4+4-4+8-4-4</f>
        <v>0</v>
      </c>
      <c r="K109" s="91"/>
    </row>
    <row r="110" s="6" customFormat="1" ht="25" customHeight="1" spans="1:11">
      <c r="A110" s="18"/>
      <c r="B110" s="141" t="s">
        <v>1825</v>
      </c>
      <c r="C110" s="20" t="s">
        <v>1826</v>
      </c>
      <c r="D110" s="142" t="s">
        <v>39</v>
      </c>
      <c r="E110" s="142" t="s">
        <v>13</v>
      </c>
      <c r="F110" s="142">
        <v>45</v>
      </c>
      <c r="G110" s="142">
        <v>72.56</v>
      </c>
      <c r="H110" s="20" t="s">
        <v>16</v>
      </c>
      <c r="I110" s="20" t="str">
        <f>VLOOKUP(H110,Sheet4!A:B,2)</f>
        <v>GLOSS BLACK</v>
      </c>
      <c r="J110" s="21">
        <f>4+12-4-4+4-4-4-4+8-4</f>
        <v>4</v>
      </c>
      <c r="K110" s="128"/>
    </row>
    <row r="111" s="6" customFormat="1" ht="25" customHeight="1" spans="1:11">
      <c r="A111" s="18"/>
      <c r="B111" s="141" t="s">
        <v>1827</v>
      </c>
      <c r="C111" s="20" t="s">
        <v>1788</v>
      </c>
      <c r="D111" s="142" t="s">
        <v>39</v>
      </c>
      <c r="E111" s="142" t="s">
        <v>13</v>
      </c>
      <c r="F111" s="142">
        <v>45</v>
      </c>
      <c r="G111" s="142">
        <v>72.56</v>
      </c>
      <c r="H111" s="20" t="s">
        <v>87</v>
      </c>
      <c r="I111" s="20" t="str">
        <f>VLOOKUP(H111,Sheet4!A:B,2)</f>
        <v>Gunmetal Machine Face</v>
      </c>
      <c r="J111" s="21">
        <f>8-4-4+8-4</f>
        <v>4</v>
      </c>
      <c r="K111" s="143"/>
    </row>
    <row r="112" s="6" customFormat="1" ht="25" customHeight="1" spans="1:11">
      <c r="A112" s="18"/>
      <c r="B112" s="141" t="s">
        <v>1828</v>
      </c>
      <c r="C112" s="20" t="s">
        <v>1793</v>
      </c>
      <c r="D112" s="142" t="s">
        <v>31</v>
      </c>
      <c r="E112" s="142" t="s">
        <v>20</v>
      </c>
      <c r="F112" s="142">
        <v>40</v>
      </c>
      <c r="G112" s="142">
        <v>63.4</v>
      </c>
      <c r="H112" s="20" t="s">
        <v>21</v>
      </c>
      <c r="I112" s="20" t="str">
        <f>VLOOKUP(H112,Sheet4!A:B,2)</f>
        <v>Black Machine Face</v>
      </c>
      <c r="J112" s="21">
        <f>4-4+4-4+4-4+4</f>
        <v>4</v>
      </c>
      <c r="K112" s="143"/>
    </row>
    <row r="113" s="6" customFormat="1" ht="25" customHeight="1" spans="1:11">
      <c r="A113" s="18"/>
      <c r="B113" s="141" t="s">
        <v>1829</v>
      </c>
      <c r="C113" s="20" t="s">
        <v>1793</v>
      </c>
      <c r="D113" s="142" t="s">
        <v>39</v>
      </c>
      <c r="E113" s="142" t="s">
        <v>20</v>
      </c>
      <c r="F113" s="142">
        <v>40</v>
      </c>
      <c r="G113" s="142">
        <v>63.4</v>
      </c>
      <c r="H113" s="20" t="s">
        <v>87</v>
      </c>
      <c r="I113" s="20" t="str">
        <f>VLOOKUP(H113,Sheet4!A:B,2)</f>
        <v>Gunmetal Machine Face</v>
      </c>
      <c r="J113" s="21">
        <f>8-4-4</f>
        <v>0</v>
      </c>
      <c r="K113" s="143"/>
    </row>
    <row r="114" s="6" customFormat="1" ht="25" customHeight="1" spans="1:11">
      <c r="A114" s="18"/>
      <c r="B114" s="141" t="s">
        <v>1830</v>
      </c>
      <c r="C114" s="20" t="s">
        <v>1793</v>
      </c>
      <c r="D114" s="142" t="s">
        <v>31</v>
      </c>
      <c r="E114" s="142" t="s">
        <v>20</v>
      </c>
      <c r="F114" s="142">
        <v>40</v>
      </c>
      <c r="G114" s="142">
        <v>63.4</v>
      </c>
      <c r="H114" s="20" t="s">
        <v>16</v>
      </c>
      <c r="I114" s="20" t="str">
        <f>VLOOKUP(H114,Sheet4!A:B,2)</f>
        <v>GLOSS BLACK</v>
      </c>
      <c r="J114" s="21">
        <f>4-4+8-4</f>
        <v>4</v>
      </c>
      <c r="K114" s="143"/>
    </row>
    <row r="115" s="6" customFormat="1" ht="25" customHeight="1" spans="1:11">
      <c r="A115" s="18"/>
      <c r="B115" s="141" t="s">
        <v>1831</v>
      </c>
      <c r="C115" s="20" t="s">
        <v>1788</v>
      </c>
      <c r="D115" s="142" t="s">
        <v>34</v>
      </c>
      <c r="E115" s="142" t="s">
        <v>13</v>
      </c>
      <c r="F115" s="142">
        <v>40</v>
      </c>
      <c r="G115" s="142">
        <v>72.56</v>
      </c>
      <c r="H115" s="20" t="s">
        <v>16</v>
      </c>
      <c r="I115" s="20" t="str">
        <f>VLOOKUP(H115,Sheet4!A:B,2)</f>
        <v>GLOSS BLACK</v>
      </c>
      <c r="J115" s="21">
        <v>12</v>
      </c>
      <c r="K115" s="143"/>
    </row>
    <row r="116" s="6" customFormat="1" ht="25" customHeight="1" spans="1:11">
      <c r="A116" s="18"/>
      <c r="B116" s="141" t="s">
        <v>1832</v>
      </c>
      <c r="C116" s="20" t="s">
        <v>1788</v>
      </c>
      <c r="D116" s="142" t="s">
        <v>34</v>
      </c>
      <c r="E116" s="142" t="s">
        <v>13</v>
      </c>
      <c r="F116" s="142">
        <v>40</v>
      </c>
      <c r="G116" s="142">
        <v>72.56</v>
      </c>
      <c r="H116" s="20" t="s">
        <v>36</v>
      </c>
      <c r="I116" s="20" t="str">
        <f>VLOOKUP(H116,Sheet4!A:B,2)</f>
        <v>Black Machine Face</v>
      </c>
      <c r="J116" s="21">
        <f>12-4+4-4-4-4+8-4+4-4-4</f>
        <v>0</v>
      </c>
      <c r="K116" s="143"/>
    </row>
    <row r="117" s="6" customFormat="1" ht="25" customHeight="1" spans="1:11">
      <c r="A117" s="22"/>
      <c r="B117" s="145" t="s">
        <v>1833</v>
      </c>
      <c r="C117" s="24" t="s">
        <v>1788</v>
      </c>
      <c r="D117" s="146" t="s">
        <v>34</v>
      </c>
      <c r="E117" s="146" t="s">
        <v>13</v>
      </c>
      <c r="F117" s="146">
        <v>40</v>
      </c>
      <c r="G117" s="146">
        <v>72.56</v>
      </c>
      <c r="H117" s="24" t="s">
        <v>87</v>
      </c>
      <c r="I117" s="24" t="str">
        <f>VLOOKUP(H117,Sheet4!A:B,2)</f>
        <v>Gunmetal Machine Face</v>
      </c>
      <c r="J117" s="25">
        <f>6-4+2-4+4-4+8-4-4+4-4</f>
        <v>0</v>
      </c>
      <c r="K117" s="101"/>
    </row>
    <row r="118" s="6" customFormat="1" ht="114" customHeight="1" spans="1:11">
      <c r="A118" s="46"/>
      <c r="B118" s="145" t="s">
        <v>1834</v>
      </c>
      <c r="C118" s="24" t="s">
        <v>1788</v>
      </c>
      <c r="D118" s="146" t="s">
        <v>39</v>
      </c>
      <c r="E118" s="24" t="s">
        <v>13</v>
      </c>
      <c r="F118" s="146">
        <v>45</v>
      </c>
      <c r="G118" s="146">
        <v>72.56</v>
      </c>
      <c r="H118" s="24" t="s">
        <v>826</v>
      </c>
      <c r="I118" s="24" t="str">
        <f>VLOOKUP(H118,Sheet4!A:B,2)</f>
        <v>Gloss Black Machined Face</v>
      </c>
      <c r="J118" s="147">
        <v>4</v>
      </c>
      <c r="K118" s="101"/>
    </row>
    <row r="119" s="6" customFormat="1" ht="125" customHeight="1" spans="1:11">
      <c r="A119" s="22"/>
      <c r="B119" s="23" t="s">
        <v>1835</v>
      </c>
      <c r="C119" s="24" t="s">
        <v>1836</v>
      </c>
      <c r="D119" s="24" t="s">
        <v>556</v>
      </c>
      <c r="E119" s="24" t="s">
        <v>13</v>
      </c>
      <c r="F119" s="24">
        <v>42</v>
      </c>
      <c r="G119" s="24">
        <v>72.56</v>
      </c>
      <c r="H119" s="24" t="s">
        <v>21</v>
      </c>
      <c r="I119" s="24" t="str">
        <f>VLOOKUP(H119,Sheet4!A:B,2)</f>
        <v>Black Machine Face</v>
      </c>
      <c r="J119" s="147">
        <v>1</v>
      </c>
      <c r="K119" s="101"/>
    </row>
    <row r="120" s="6" customFormat="1" ht="21" customHeight="1" spans="1:11">
      <c r="A120" s="129"/>
      <c r="B120" s="134" t="s">
        <v>1837</v>
      </c>
      <c r="C120" s="148" t="s">
        <v>1838</v>
      </c>
      <c r="D120" s="142" t="s">
        <v>12</v>
      </c>
      <c r="E120" s="142" t="s">
        <v>20</v>
      </c>
      <c r="F120" s="142">
        <v>38</v>
      </c>
      <c r="G120" s="142">
        <v>63.4</v>
      </c>
      <c r="H120" s="20" t="s">
        <v>21</v>
      </c>
      <c r="I120" s="20" t="str">
        <f>VLOOKUP(H120,Sheet4!A:B,2)</f>
        <v>Black Machine Face</v>
      </c>
      <c r="J120" s="42">
        <f>2+6-4-4+8-4-4</f>
        <v>0</v>
      </c>
      <c r="K120" s="91" t="s">
        <v>1693</v>
      </c>
    </row>
    <row r="121" s="6" customFormat="1" ht="21" customHeight="1" spans="1:11">
      <c r="A121" s="129"/>
      <c r="B121" s="134" t="s">
        <v>1839</v>
      </c>
      <c r="C121" s="148" t="s">
        <v>1838</v>
      </c>
      <c r="D121" s="142" t="s">
        <v>23</v>
      </c>
      <c r="E121" s="142" t="s">
        <v>20</v>
      </c>
      <c r="F121" s="142">
        <v>45</v>
      </c>
      <c r="G121" s="142">
        <v>63.4</v>
      </c>
      <c r="H121" s="20" t="s">
        <v>21</v>
      </c>
      <c r="I121" s="20" t="str">
        <f>VLOOKUP(H121,Sheet4!A:B,2)</f>
        <v>Black Machine Face</v>
      </c>
      <c r="J121" s="42">
        <f>4-4+4-4+8-4-4+8-4-4+4-4+8-4-4+8-4-4+6+2</f>
        <v>8</v>
      </c>
      <c r="K121" s="91"/>
    </row>
    <row r="122" s="6" customFormat="1" ht="21" customHeight="1" spans="1:11">
      <c r="A122" s="129"/>
      <c r="B122" s="134" t="s">
        <v>1840</v>
      </c>
      <c r="C122" s="134" t="s">
        <v>1838</v>
      </c>
      <c r="D122" s="141" t="s">
        <v>23</v>
      </c>
      <c r="E122" s="141" t="s">
        <v>13</v>
      </c>
      <c r="F122" s="141">
        <v>45</v>
      </c>
      <c r="G122" s="141">
        <v>72.56</v>
      </c>
      <c r="H122" s="19" t="s">
        <v>21</v>
      </c>
      <c r="I122" s="19" t="str">
        <f>VLOOKUP(H122,Sheet4!A:B,2)</f>
        <v>Black Machine Face</v>
      </c>
      <c r="J122" s="21">
        <f>2+4+2-4-4+4+4-4+4-4-4+8-4-4+4-4+8+4-4</f>
        <v>8</v>
      </c>
      <c r="K122" s="128"/>
    </row>
    <row r="123" s="6" customFormat="1" ht="21" customHeight="1" spans="1:11">
      <c r="A123" s="44"/>
      <c r="B123" s="99" t="s">
        <v>1841</v>
      </c>
      <c r="C123" s="20" t="s">
        <v>1838</v>
      </c>
      <c r="D123" s="149" t="s">
        <v>19</v>
      </c>
      <c r="E123" s="20" t="s">
        <v>13</v>
      </c>
      <c r="F123" s="20">
        <v>45</v>
      </c>
      <c r="G123" s="20">
        <v>72.56</v>
      </c>
      <c r="H123" s="20" t="s">
        <v>21</v>
      </c>
      <c r="I123" s="20" t="str">
        <f>VLOOKUP(H123,Sheet4!A:B,2)</f>
        <v>Black Machine Face</v>
      </c>
      <c r="J123" s="21">
        <f>4+4-4-4+8-4-4+8-4+8-4-5+5-4-4+4-4+8+4-4-4-4+4-4+8-4-4+8-4+4-4+4+4-4-4-4</f>
        <v>0</v>
      </c>
      <c r="K123" s="128"/>
    </row>
    <row r="124" ht="21" customHeight="1" spans="1:11">
      <c r="A124" s="44"/>
      <c r="B124" s="99" t="s">
        <v>1842</v>
      </c>
      <c r="C124" s="20" t="s">
        <v>1838</v>
      </c>
      <c r="D124" s="20" t="s">
        <v>29</v>
      </c>
      <c r="E124" s="20" t="s">
        <v>20</v>
      </c>
      <c r="F124" s="20">
        <v>40</v>
      </c>
      <c r="G124" s="20">
        <v>63.4</v>
      </c>
      <c r="H124" s="20" t="s">
        <v>21</v>
      </c>
      <c r="I124" s="20" t="str">
        <f>VLOOKUP(H124,Sheet4!A:B,2)</f>
        <v>Black Machine Face</v>
      </c>
      <c r="J124" s="21">
        <f>4-4+4-4+8</f>
        <v>8</v>
      </c>
      <c r="K124" s="138"/>
    </row>
    <row r="125" ht="21" customHeight="1" spans="1:11">
      <c r="A125" s="44"/>
      <c r="B125" s="99" t="s">
        <v>1843</v>
      </c>
      <c r="C125" s="20" t="s">
        <v>1838</v>
      </c>
      <c r="D125" s="20" t="s">
        <v>31</v>
      </c>
      <c r="E125" s="20" t="s">
        <v>20</v>
      </c>
      <c r="F125" s="20">
        <v>40</v>
      </c>
      <c r="G125" s="20">
        <v>63.4</v>
      </c>
      <c r="H125" s="20" t="s">
        <v>21</v>
      </c>
      <c r="I125" s="20" t="str">
        <f>VLOOKUP(H125,Sheet4!A:B,2)</f>
        <v>Black Machine Face</v>
      </c>
      <c r="J125" s="21">
        <f>4-4+8-4-4+4-4+4-4+4-4+4-4+4-4</f>
        <v>0</v>
      </c>
      <c r="K125" s="138"/>
    </row>
    <row r="126" ht="21" customHeight="1" spans="1:11">
      <c r="A126" s="44"/>
      <c r="B126" s="99" t="s">
        <v>1844</v>
      </c>
      <c r="C126" s="20" t="s">
        <v>1838</v>
      </c>
      <c r="D126" s="20" t="s">
        <v>39</v>
      </c>
      <c r="E126" s="20" t="s">
        <v>13</v>
      </c>
      <c r="F126" s="20">
        <v>45</v>
      </c>
      <c r="G126" s="20">
        <v>72.56</v>
      </c>
      <c r="H126" s="20" t="s">
        <v>21</v>
      </c>
      <c r="I126" s="20" t="str">
        <f>VLOOKUP(H126,Sheet4!A:B,2)</f>
        <v>Black Machine Face</v>
      </c>
      <c r="J126" s="21">
        <f>12+4-4-5-4</f>
        <v>3</v>
      </c>
      <c r="K126" s="128"/>
    </row>
    <row r="127" ht="21" customHeight="1" spans="1:11">
      <c r="A127" s="44"/>
      <c r="B127" s="99" t="s">
        <v>1845</v>
      </c>
      <c r="C127" s="20" t="s">
        <v>1838</v>
      </c>
      <c r="D127" s="20" t="s">
        <v>556</v>
      </c>
      <c r="E127" s="20" t="s">
        <v>13</v>
      </c>
      <c r="F127" s="20">
        <v>42</v>
      </c>
      <c r="G127" s="20">
        <v>72.56</v>
      </c>
      <c r="H127" s="20" t="s">
        <v>21</v>
      </c>
      <c r="I127" s="20" t="str">
        <f>VLOOKUP(H127,Sheet4!A:B,2)</f>
        <v>Black Machine Face</v>
      </c>
      <c r="J127" s="21">
        <f>2-1+1-1</f>
        <v>1</v>
      </c>
      <c r="K127" s="150"/>
    </row>
    <row r="128" ht="21" customHeight="1" spans="1:11">
      <c r="A128" s="82"/>
      <c r="B128" s="99" t="s">
        <v>1846</v>
      </c>
      <c r="C128" s="20" t="s">
        <v>1847</v>
      </c>
      <c r="D128" s="20" t="s">
        <v>1848</v>
      </c>
      <c r="E128" s="20" t="s">
        <v>13</v>
      </c>
      <c r="F128" s="20">
        <v>38</v>
      </c>
      <c r="G128" s="20">
        <v>72.56</v>
      </c>
      <c r="H128" s="20" t="s">
        <v>21</v>
      </c>
      <c r="I128" s="20" t="str">
        <f>VLOOKUP(H128,Sheet4!A:B,2)</f>
        <v>Black Machine Face</v>
      </c>
      <c r="J128" s="21">
        <f>8-8+8-4-4+4+12-4-4-4-4+12-4+12-4-4-4+4-4-4-4+12-4-4-4+16-4-4-4-4+12-4-4-4+4+8-4-4+4+4+12</f>
        <v>24</v>
      </c>
      <c r="K128" s="138" t="s">
        <v>1693</v>
      </c>
    </row>
    <row r="129" s="8" customFormat="1" ht="21" customHeight="1" spans="1:11">
      <c r="A129" s="44"/>
      <c r="B129" s="99" t="s">
        <v>1849</v>
      </c>
      <c r="C129" s="20" t="s">
        <v>1838</v>
      </c>
      <c r="D129" s="20" t="s">
        <v>34</v>
      </c>
      <c r="E129" s="20" t="s">
        <v>13</v>
      </c>
      <c r="F129" s="20">
        <v>40</v>
      </c>
      <c r="G129" s="20">
        <v>72.56</v>
      </c>
      <c r="H129" s="20" t="s">
        <v>21</v>
      </c>
      <c r="I129" s="20" t="str">
        <f>VLOOKUP(H129,Sheet4!A:B,2)</f>
        <v>Black Machine Face</v>
      </c>
      <c r="J129" s="42">
        <f>4-4+8-4+4-4-4+8-4-1+4+1-4+4-4-4+8-4+4+4-4-3+4-1-4-4+4+8-4-4+4-1+5-4-4-4+12-4-4-4+4-1+1-4+4-4+8-4-4+8-4+4-1</f>
        <v>7</v>
      </c>
      <c r="K129" s="143"/>
    </row>
    <row r="130" ht="21" customHeight="1" spans="1:11">
      <c r="A130" s="82"/>
      <c r="B130" s="99" t="s">
        <v>1850</v>
      </c>
      <c r="C130" s="20" t="s">
        <v>1847</v>
      </c>
      <c r="D130" s="20" t="s">
        <v>56</v>
      </c>
      <c r="E130" s="20" t="s">
        <v>13</v>
      </c>
      <c r="F130" s="20">
        <v>40</v>
      </c>
      <c r="G130" s="20">
        <v>72.56</v>
      </c>
      <c r="H130" s="20" t="s">
        <v>21</v>
      </c>
      <c r="I130" s="20" t="str">
        <f>VLOOKUP(H130,Sheet4!A:B,2)</f>
        <v>Black Machine Face</v>
      </c>
      <c r="J130" s="21">
        <f>4+8+4-4-4-4-4</f>
        <v>0</v>
      </c>
      <c r="K130" s="138" t="s">
        <v>1693</v>
      </c>
    </row>
    <row r="131" ht="21" customHeight="1" spans="1:11">
      <c r="A131" s="82"/>
      <c r="B131" s="99" t="s">
        <v>1851</v>
      </c>
      <c r="C131" s="20" t="s">
        <v>1847</v>
      </c>
      <c r="D131" s="20" t="s">
        <v>431</v>
      </c>
      <c r="E131" s="20" t="s">
        <v>13</v>
      </c>
      <c r="F131" s="20">
        <v>40</v>
      </c>
      <c r="G131" s="20">
        <v>72.56</v>
      </c>
      <c r="H131" s="20" t="s">
        <v>21</v>
      </c>
      <c r="I131" s="20" t="str">
        <f>VLOOKUP(H131,Sheet4!A:B,2)</f>
        <v>Black Machine Face</v>
      </c>
      <c r="J131" s="21">
        <f>4-4+4-4+12-4-4+8-4-4-4+8-4</f>
        <v>4</v>
      </c>
      <c r="K131" s="128" t="s">
        <v>1693</v>
      </c>
    </row>
    <row r="132" s="117" customFormat="1" ht="115" customHeight="1" spans="1:11">
      <c r="A132" s="151"/>
      <c r="B132" s="152" t="s">
        <v>1852</v>
      </c>
      <c r="C132" s="39" t="s">
        <v>1853</v>
      </c>
      <c r="D132" s="39" t="s">
        <v>39</v>
      </c>
      <c r="E132" s="39" t="s">
        <v>13</v>
      </c>
      <c r="F132" s="39">
        <v>40</v>
      </c>
      <c r="G132" s="39" t="s">
        <v>1854</v>
      </c>
      <c r="H132" s="39" t="s">
        <v>21</v>
      </c>
      <c r="I132" s="39" t="str">
        <f>VLOOKUP(H132,Sheet4!A:B,2)</f>
        <v>Black Machine Face</v>
      </c>
      <c r="J132" s="153">
        <v>1</v>
      </c>
      <c r="K132" s="154"/>
    </row>
    <row r="133" s="6" customFormat="1" ht="41" customHeight="1" spans="1:11">
      <c r="A133" s="44"/>
      <c r="B133" s="19" t="s">
        <v>1855</v>
      </c>
      <c r="C133" s="20" t="s">
        <v>1856</v>
      </c>
      <c r="D133" s="20" t="s">
        <v>19</v>
      </c>
      <c r="E133" s="20" t="s">
        <v>13</v>
      </c>
      <c r="F133" s="20">
        <v>45</v>
      </c>
      <c r="G133" s="20">
        <v>72.56</v>
      </c>
      <c r="H133" s="20" t="s">
        <v>21</v>
      </c>
      <c r="I133" s="20" t="str">
        <f>VLOOKUP(H133,Sheet4!A:B,2)</f>
        <v>Black Machine Face</v>
      </c>
      <c r="J133" s="42">
        <f>4-4+4-4+4-4+4</f>
        <v>4</v>
      </c>
      <c r="K133" s="91"/>
    </row>
    <row r="134" s="6" customFormat="1" ht="41" customHeight="1" spans="1:11">
      <c r="A134" s="44"/>
      <c r="B134" s="19" t="s">
        <v>1857</v>
      </c>
      <c r="C134" s="20" t="s">
        <v>1856</v>
      </c>
      <c r="D134" s="20" t="s">
        <v>39</v>
      </c>
      <c r="E134" s="20" t="s">
        <v>13</v>
      </c>
      <c r="F134" s="20">
        <v>42</v>
      </c>
      <c r="G134" s="20">
        <v>72.56</v>
      </c>
      <c r="H134" s="20" t="s">
        <v>21</v>
      </c>
      <c r="I134" s="20" t="str">
        <f>VLOOKUP(H134,Sheet4!A:B,2)</f>
        <v>Black Machine Face</v>
      </c>
      <c r="J134" s="42">
        <f>11+1-4-4-4+4-4</f>
        <v>0</v>
      </c>
      <c r="K134" s="91"/>
    </row>
    <row r="135" s="6" customFormat="1" ht="41" customHeight="1" spans="1:11">
      <c r="A135" s="46"/>
      <c r="B135" s="23" t="s">
        <v>1858</v>
      </c>
      <c r="C135" s="24" t="s">
        <v>1856</v>
      </c>
      <c r="D135" s="24" t="s">
        <v>34</v>
      </c>
      <c r="E135" s="24" t="s">
        <v>13</v>
      </c>
      <c r="F135" s="24">
        <v>40</v>
      </c>
      <c r="G135" s="24" t="s">
        <v>1854</v>
      </c>
      <c r="H135" s="24" t="s">
        <v>21</v>
      </c>
      <c r="I135" s="24" t="str">
        <f>VLOOKUP(H135,Sheet4!A:B,2)</f>
        <v>Black Machine Face</v>
      </c>
      <c r="J135" s="43">
        <f>5-1-4+1+3-4+4-4</f>
        <v>0</v>
      </c>
      <c r="K135" s="101"/>
    </row>
    <row r="136" ht="120" customHeight="1" spans="1:11">
      <c r="A136" s="84"/>
      <c r="B136" s="155" t="s">
        <v>1859</v>
      </c>
      <c r="C136" s="156" t="s">
        <v>1860</v>
      </c>
      <c r="D136" s="146" t="s">
        <v>39</v>
      </c>
      <c r="E136" s="146" t="s">
        <v>13</v>
      </c>
      <c r="F136" s="146">
        <v>45</v>
      </c>
      <c r="G136" s="24">
        <v>72.56</v>
      </c>
      <c r="H136" s="24" t="s">
        <v>21</v>
      </c>
      <c r="I136" s="24" t="str">
        <f>VLOOKUP(H136,Sheet4!A:B,2)</f>
        <v>Black Machine Face</v>
      </c>
      <c r="J136" s="43">
        <v>1</v>
      </c>
      <c r="K136" s="157" t="s">
        <v>1861</v>
      </c>
    </row>
    <row r="137" s="6" customFormat="1" ht="66" customHeight="1" spans="1:11">
      <c r="A137" s="44"/>
      <c r="B137" s="19" t="s">
        <v>1862</v>
      </c>
      <c r="C137" s="20" t="s">
        <v>1788</v>
      </c>
      <c r="D137" s="20" t="s">
        <v>39</v>
      </c>
      <c r="E137" s="20" t="s">
        <v>13</v>
      </c>
      <c r="F137" s="20">
        <v>45</v>
      </c>
      <c r="G137" s="20">
        <v>72.56</v>
      </c>
      <c r="H137" s="20" t="s">
        <v>1863</v>
      </c>
      <c r="I137" s="20" t="str">
        <f>VLOOKUP(H137,Sheet4!A:B,2)</f>
        <v>Black+Polisph</v>
      </c>
      <c r="J137" s="21">
        <f>12-4-4+4</f>
        <v>8</v>
      </c>
      <c r="K137" s="128"/>
    </row>
    <row r="138" s="6" customFormat="1" ht="66" customHeight="1" spans="1:11">
      <c r="A138" s="46"/>
      <c r="B138" s="23" t="s">
        <v>1864</v>
      </c>
      <c r="C138" s="24" t="s">
        <v>1788</v>
      </c>
      <c r="D138" s="24" t="s">
        <v>34</v>
      </c>
      <c r="E138" s="24" t="s">
        <v>13</v>
      </c>
      <c r="F138" s="24">
        <v>40</v>
      </c>
      <c r="G138" s="24">
        <v>72.56</v>
      </c>
      <c r="H138" s="24" t="s">
        <v>1863</v>
      </c>
      <c r="I138" s="24" t="str">
        <f>VLOOKUP(H138,Sheet4!A:B,2)</f>
        <v>Black+Polisph</v>
      </c>
      <c r="J138" s="25">
        <f>8-4-4</f>
        <v>0</v>
      </c>
      <c r="K138" s="133"/>
    </row>
    <row r="139" s="6" customFormat="1" ht="39" customHeight="1" spans="1:11">
      <c r="A139" s="129"/>
      <c r="B139" s="19" t="s">
        <v>1865</v>
      </c>
      <c r="C139" s="20" t="s">
        <v>1788</v>
      </c>
      <c r="D139" s="20" t="s">
        <v>19</v>
      </c>
      <c r="E139" s="20" t="s">
        <v>13</v>
      </c>
      <c r="F139" s="20">
        <v>45</v>
      </c>
      <c r="G139" s="20">
        <v>72.56</v>
      </c>
      <c r="H139" s="20" t="s">
        <v>16</v>
      </c>
      <c r="I139" s="20" t="str">
        <f>VLOOKUP(H139,Sheet4!A:B,2)</f>
        <v>GLOSS BLACK</v>
      </c>
      <c r="J139" s="42">
        <v>0</v>
      </c>
      <c r="K139" s="91"/>
    </row>
    <row r="140" s="6" customFormat="1" ht="39" customHeight="1" spans="1:11">
      <c r="A140" s="129"/>
      <c r="B140" s="19" t="s">
        <v>1866</v>
      </c>
      <c r="C140" s="20" t="s">
        <v>1788</v>
      </c>
      <c r="D140" s="20" t="s">
        <v>39</v>
      </c>
      <c r="E140" s="20" t="s">
        <v>13</v>
      </c>
      <c r="F140" s="20">
        <v>45</v>
      </c>
      <c r="G140" s="20">
        <v>72.56</v>
      </c>
      <c r="H140" s="20" t="s">
        <v>16</v>
      </c>
      <c r="I140" s="20" t="str">
        <f>VLOOKUP(H140,Sheet4!A:B,2)</f>
        <v>GLOSS BLACK</v>
      </c>
      <c r="J140" s="42">
        <f>16-4-4+4-4+4-4-4-4</f>
        <v>0</v>
      </c>
      <c r="K140" s="91"/>
    </row>
    <row r="141" s="6" customFormat="1" ht="39" customHeight="1" spans="1:11">
      <c r="A141" s="44"/>
      <c r="B141" s="19" t="s">
        <v>1867</v>
      </c>
      <c r="C141" s="20" t="s">
        <v>1788</v>
      </c>
      <c r="D141" s="20" t="s">
        <v>34</v>
      </c>
      <c r="E141" s="20" t="s">
        <v>13</v>
      </c>
      <c r="F141" s="20">
        <v>40</v>
      </c>
      <c r="G141" s="20">
        <v>72.56</v>
      </c>
      <c r="H141" s="20" t="s">
        <v>16</v>
      </c>
      <c r="I141" s="20" t="str">
        <f>VLOOKUP(H141,Sheet4!A:B,2)</f>
        <v>GLOSS BLACK</v>
      </c>
      <c r="J141" s="42">
        <f>7+1-4-4+4-4</f>
        <v>0</v>
      </c>
      <c r="K141" s="91"/>
    </row>
    <row r="142" s="6" customFormat="1" ht="64" customHeight="1" spans="1:11">
      <c r="A142" s="52"/>
      <c r="B142" s="53" t="s">
        <v>1868</v>
      </c>
      <c r="C142" s="54" t="s">
        <v>1788</v>
      </c>
      <c r="D142" s="54" t="s">
        <v>19</v>
      </c>
      <c r="E142" s="54" t="s">
        <v>13</v>
      </c>
      <c r="F142" s="54">
        <v>40</v>
      </c>
      <c r="G142" s="54">
        <v>72.56</v>
      </c>
      <c r="H142" s="54" t="s">
        <v>16</v>
      </c>
      <c r="I142" s="54" t="str">
        <f>VLOOKUP(H142,Sheet4!A:B,2)</f>
        <v>GLOSS BLACK</v>
      </c>
      <c r="J142" s="55">
        <f>4-4+4</f>
        <v>4</v>
      </c>
      <c r="K142" s="136"/>
    </row>
    <row r="143" s="6" customFormat="1" ht="57" customHeight="1" spans="1:11">
      <c r="A143" s="46"/>
      <c r="B143" s="23" t="s">
        <v>1869</v>
      </c>
      <c r="C143" s="24" t="s">
        <v>1788</v>
      </c>
      <c r="D143" s="24" t="s">
        <v>39</v>
      </c>
      <c r="E143" s="24" t="s">
        <v>13</v>
      </c>
      <c r="F143" s="24">
        <v>45</v>
      </c>
      <c r="G143" s="24">
        <v>72.56</v>
      </c>
      <c r="H143" s="24" t="s">
        <v>16</v>
      </c>
      <c r="I143" s="24" t="str">
        <f>VLOOKUP(H143,Sheet4!A:B,2)</f>
        <v>GLOSS BLACK</v>
      </c>
      <c r="J143" s="43">
        <f>8-4-1+1-4</f>
        <v>0</v>
      </c>
      <c r="K143" s="101"/>
    </row>
    <row r="144" s="6" customFormat="1" ht="113" customHeight="1" spans="1:11">
      <c r="A144" s="46"/>
      <c r="B144" s="23" t="s">
        <v>1870</v>
      </c>
      <c r="C144" s="24" t="s">
        <v>1788</v>
      </c>
      <c r="D144" s="24" t="s">
        <v>34</v>
      </c>
      <c r="E144" s="24" t="s">
        <v>13</v>
      </c>
      <c r="F144" s="24">
        <v>45</v>
      </c>
      <c r="G144" s="24">
        <v>72.56</v>
      </c>
      <c r="H144" s="24" t="s">
        <v>87</v>
      </c>
      <c r="I144" s="24" t="str">
        <f>VLOOKUP(H144,Sheet4!A:B,2)</f>
        <v>Gunmetal Machine Face</v>
      </c>
      <c r="J144" s="51">
        <v>4</v>
      </c>
      <c r="K144" s="125"/>
    </row>
    <row r="145" s="8" customFormat="1" ht="109" customHeight="1" spans="1:11">
      <c r="A145" s="84"/>
      <c r="B145" s="155" t="s">
        <v>1871</v>
      </c>
      <c r="C145" s="24" t="s">
        <v>1872</v>
      </c>
      <c r="D145" s="146" t="s">
        <v>34</v>
      </c>
      <c r="E145" s="146" t="s">
        <v>13</v>
      </c>
      <c r="F145" s="146">
        <v>40</v>
      </c>
      <c r="G145" s="146">
        <v>72.56</v>
      </c>
      <c r="H145" s="156" t="s">
        <v>424</v>
      </c>
      <c r="I145" s="50" t="str">
        <f>VLOOKUP(H145,Sheet4!A:B,2)</f>
        <v>Black Machine+BLACK COATING</v>
      </c>
      <c r="J145" s="43">
        <v>12</v>
      </c>
      <c r="K145" s="158"/>
    </row>
    <row r="146" s="8" customFormat="1" ht="45" customHeight="1" spans="1:11">
      <c r="A146" s="82"/>
      <c r="B146" s="134" t="s">
        <v>1873</v>
      </c>
      <c r="C146" s="20" t="s">
        <v>1872</v>
      </c>
      <c r="D146" s="142" t="s">
        <v>19</v>
      </c>
      <c r="E146" s="142" t="s">
        <v>13</v>
      </c>
      <c r="F146" s="142">
        <v>40</v>
      </c>
      <c r="G146" s="142">
        <v>72.56</v>
      </c>
      <c r="H146" s="148" t="s">
        <v>1874</v>
      </c>
      <c r="I146" s="20" t="s">
        <v>1875</v>
      </c>
      <c r="J146" s="42">
        <v>10</v>
      </c>
      <c r="K146" s="91" t="s">
        <v>1729</v>
      </c>
    </row>
    <row r="147" s="8" customFormat="1" ht="45" customHeight="1" spans="1:11">
      <c r="A147" s="82"/>
      <c r="B147" s="134" t="s">
        <v>1876</v>
      </c>
      <c r="C147" s="20" t="s">
        <v>1872</v>
      </c>
      <c r="D147" s="142" t="s">
        <v>34</v>
      </c>
      <c r="E147" s="142" t="s">
        <v>13</v>
      </c>
      <c r="F147" s="142">
        <v>40</v>
      </c>
      <c r="G147" s="142">
        <v>72.56</v>
      </c>
      <c r="H147" s="148" t="s">
        <v>1874</v>
      </c>
      <c r="I147" s="20" t="s">
        <v>1875</v>
      </c>
      <c r="J147" s="42">
        <f>2+23+9+1+4</f>
        <v>39</v>
      </c>
      <c r="K147" s="91" t="s">
        <v>1729</v>
      </c>
    </row>
    <row r="148" s="8" customFormat="1" ht="45" customHeight="1" spans="1:11">
      <c r="A148" s="84"/>
      <c r="B148" s="155" t="s">
        <v>1877</v>
      </c>
      <c r="C148" s="24" t="s">
        <v>1872</v>
      </c>
      <c r="D148" s="146" t="s">
        <v>34</v>
      </c>
      <c r="E148" s="146" t="s">
        <v>13</v>
      </c>
      <c r="F148" s="146">
        <v>40</v>
      </c>
      <c r="G148" s="146">
        <v>72.56</v>
      </c>
      <c r="H148" s="156" t="s">
        <v>1874</v>
      </c>
      <c r="I148" s="24" t="s">
        <v>1875</v>
      </c>
      <c r="J148" s="43">
        <f>2+10-4+1</f>
        <v>9</v>
      </c>
      <c r="K148" s="101"/>
    </row>
    <row r="149" s="6" customFormat="1" ht="108" customHeight="1" spans="1:11">
      <c r="A149" s="84"/>
      <c r="B149" s="23" t="s">
        <v>1878</v>
      </c>
      <c r="C149" s="24" t="s">
        <v>1872</v>
      </c>
      <c r="D149" s="146" t="s">
        <v>34</v>
      </c>
      <c r="E149" s="146" t="s">
        <v>13</v>
      </c>
      <c r="F149" s="24">
        <v>40</v>
      </c>
      <c r="G149" s="24">
        <v>72.56</v>
      </c>
      <c r="H149" s="24" t="s">
        <v>1879</v>
      </c>
      <c r="I149" s="24" t="str">
        <f>VLOOKUP(H149,Sheet4!A:B,2)</f>
        <v>BRONZE</v>
      </c>
      <c r="J149" s="43">
        <f>12-4-4-4+18-5-5+2-5-5+1+5+40-5+10-5+10-4-4-4-5-5</f>
        <v>34</v>
      </c>
      <c r="K149" s="101" t="s">
        <v>1729</v>
      </c>
    </row>
    <row r="150" s="6" customFormat="1" ht="40" customHeight="1" spans="1:11">
      <c r="A150" s="131"/>
      <c r="B150" s="19" t="s">
        <v>1880</v>
      </c>
      <c r="C150" s="20" t="s">
        <v>1872</v>
      </c>
      <c r="D150" s="142" t="s">
        <v>19</v>
      </c>
      <c r="E150" s="142" t="s">
        <v>13</v>
      </c>
      <c r="F150" s="142">
        <v>40</v>
      </c>
      <c r="G150" s="142">
        <v>72.56</v>
      </c>
      <c r="H150" s="142" t="s">
        <v>159</v>
      </c>
      <c r="I150" s="142" t="str">
        <f>VLOOKUP(H150,Sheet4!A:B,2)</f>
        <v>MATTE BLACK</v>
      </c>
      <c r="J150" s="42">
        <f>4+4-4-4+4-4+12-4+4+12-4-5-1-5-5-4+20-4</f>
        <v>16</v>
      </c>
      <c r="K150" s="91"/>
    </row>
    <row r="151" s="6" customFormat="1" ht="40" customHeight="1" spans="1:11">
      <c r="A151" s="82"/>
      <c r="B151" s="19" t="s">
        <v>1881</v>
      </c>
      <c r="C151" s="20" t="s">
        <v>1872</v>
      </c>
      <c r="D151" s="142" t="s">
        <v>34</v>
      </c>
      <c r="E151" s="142" t="s">
        <v>13</v>
      </c>
      <c r="F151" s="142">
        <v>40</v>
      </c>
      <c r="G151" s="142">
        <v>72.56</v>
      </c>
      <c r="H151" s="142" t="s">
        <v>159</v>
      </c>
      <c r="I151" s="142" t="str">
        <f>VLOOKUP(H151,Sheet4!A:B,2)</f>
        <v>MATTE BLACK</v>
      </c>
      <c r="J151" s="42">
        <f>4+4-4-4+10-5+4-4-5+7+2-4+5-4</f>
        <v>6</v>
      </c>
      <c r="K151" s="91"/>
    </row>
    <row r="152" s="6" customFormat="1" ht="40" customHeight="1" spans="1:11">
      <c r="A152" s="84"/>
      <c r="B152" s="23" t="s">
        <v>1882</v>
      </c>
      <c r="C152" s="24" t="s">
        <v>1872</v>
      </c>
      <c r="D152" s="146" t="s">
        <v>34</v>
      </c>
      <c r="E152" s="146" t="s">
        <v>13</v>
      </c>
      <c r="F152" s="146">
        <v>40</v>
      </c>
      <c r="G152" s="146">
        <v>72.56</v>
      </c>
      <c r="H152" s="146" t="s">
        <v>1883</v>
      </c>
      <c r="I152" s="146" t="str">
        <f>VLOOKUP(H152,Sheet4!A:B,2)</f>
        <v>MATTE Black Machine Face</v>
      </c>
      <c r="J152" s="43">
        <f>4-4+8</f>
        <v>8</v>
      </c>
      <c r="K152" s="101"/>
    </row>
    <row r="153" s="6" customFormat="1" ht="105" customHeight="1" spans="1:11">
      <c r="A153" s="132"/>
      <c r="B153" s="23" t="s">
        <v>1884</v>
      </c>
      <c r="C153" s="24" t="s">
        <v>1872</v>
      </c>
      <c r="D153" s="24" t="s">
        <v>34</v>
      </c>
      <c r="E153" s="24" t="s">
        <v>13</v>
      </c>
      <c r="F153" s="24">
        <v>40</v>
      </c>
      <c r="G153" s="24">
        <v>72.56</v>
      </c>
      <c r="H153" s="24" t="s">
        <v>1885</v>
      </c>
      <c r="I153" s="24" t="str">
        <f>VLOOKUP(H153,Sheet4!A:B,2)</f>
        <v>Gloss Black</v>
      </c>
      <c r="J153" s="43">
        <f>8-4-1+14-4-4-1-5+1-4+21-4-4-1-4-5+6-4+8-4-4-1+9+13-5-1</f>
        <v>20</v>
      </c>
      <c r="K153" s="101"/>
    </row>
    <row r="154" s="6" customFormat="1" ht="37" customHeight="1" spans="1:11">
      <c r="A154" s="131"/>
      <c r="B154" s="19" t="s">
        <v>1886</v>
      </c>
      <c r="C154" s="20" t="s">
        <v>1872</v>
      </c>
      <c r="D154" s="20" t="s">
        <v>12</v>
      </c>
      <c r="E154" s="20" t="s">
        <v>13</v>
      </c>
      <c r="F154" s="20">
        <v>35</v>
      </c>
      <c r="G154" s="20">
        <v>72.56</v>
      </c>
      <c r="H154" s="20" t="s">
        <v>87</v>
      </c>
      <c r="I154" s="20" t="str">
        <f>VLOOKUP(H154,Sheet4!A:B,2)</f>
        <v>Gunmetal Machine Face</v>
      </c>
      <c r="J154" s="42">
        <f>4-4</f>
        <v>0</v>
      </c>
      <c r="K154" s="91"/>
    </row>
    <row r="155" s="6" customFormat="1" ht="37" customHeight="1" spans="1:11">
      <c r="A155" s="131"/>
      <c r="B155" s="19" t="s">
        <v>1887</v>
      </c>
      <c r="C155" s="20" t="s">
        <v>1872</v>
      </c>
      <c r="D155" s="20" t="s">
        <v>19</v>
      </c>
      <c r="E155" s="20" t="s">
        <v>13</v>
      </c>
      <c r="F155" s="20">
        <v>40</v>
      </c>
      <c r="G155" s="20">
        <v>72.56</v>
      </c>
      <c r="H155" s="20" t="s">
        <v>16</v>
      </c>
      <c r="I155" s="20" t="str">
        <f>VLOOKUP(H155,Sheet4!A:B,2)</f>
        <v>GLOSS BLACK</v>
      </c>
      <c r="J155" s="42">
        <v>4</v>
      </c>
      <c r="K155" s="91"/>
    </row>
    <row r="156" s="6" customFormat="1" ht="37" customHeight="1" spans="1:11">
      <c r="A156" s="132"/>
      <c r="B156" s="23" t="s">
        <v>1888</v>
      </c>
      <c r="C156" s="24" t="s">
        <v>1872</v>
      </c>
      <c r="D156" s="24" t="s">
        <v>19</v>
      </c>
      <c r="E156" s="24" t="s">
        <v>13</v>
      </c>
      <c r="F156" s="24">
        <v>40</v>
      </c>
      <c r="G156" s="24">
        <v>72.56</v>
      </c>
      <c r="H156" s="24" t="s">
        <v>87</v>
      </c>
      <c r="I156" s="24" t="str">
        <f>VLOOKUP(H156,Sheet4!A:B,2)</f>
        <v>Gunmetal Machine Face</v>
      </c>
      <c r="J156" s="43">
        <f>4+4-4+4</f>
        <v>8</v>
      </c>
      <c r="K156" s="101"/>
    </row>
    <row r="157" s="6" customFormat="1" ht="33" customHeight="1" spans="1:11">
      <c r="A157" s="129"/>
      <c r="B157" s="19" t="s">
        <v>1889</v>
      </c>
      <c r="C157" s="20" t="s">
        <v>1872</v>
      </c>
      <c r="D157" s="20" t="s">
        <v>19</v>
      </c>
      <c r="E157" s="20" t="s">
        <v>13</v>
      </c>
      <c r="F157" s="20">
        <v>40</v>
      </c>
      <c r="G157" s="20">
        <v>72.56</v>
      </c>
      <c r="H157" s="20" t="s">
        <v>16</v>
      </c>
      <c r="I157" s="20" t="str">
        <f>VLOOKUP(H157,Sheet4!A:B,2)</f>
        <v>GLOSS BLACK</v>
      </c>
      <c r="J157" s="42">
        <f>4-4+4+4+4-5-5</f>
        <v>2</v>
      </c>
      <c r="K157" s="91"/>
    </row>
    <row r="158" s="6" customFormat="1" ht="33" customHeight="1" spans="1:11">
      <c r="A158" s="129"/>
      <c r="B158" s="19" t="s">
        <v>1890</v>
      </c>
      <c r="C158" s="20" t="s">
        <v>1872</v>
      </c>
      <c r="D158" s="20" t="s">
        <v>39</v>
      </c>
      <c r="E158" s="20" t="s">
        <v>13</v>
      </c>
      <c r="F158" s="20">
        <v>45</v>
      </c>
      <c r="G158" s="20">
        <v>72.56</v>
      </c>
      <c r="H158" s="20" t="s">
        <v>16</v>
      </c>
      <c r="I158" s="20" t="str">
        <f>VLOOKUP(H158,Sheet4!A:B,2)</f>
        <v>GLOSS BLACK</v>
      </c>
      <c r="J158" s="42">
        <f>12-4-4-4+4</f>
        <v>4</v>
      </c>
      <c r="K158" s="91"/>
    </row>
    <row r="159" s="6" customFormat="1" ht="33" customHeight="1" spans="1:11">
      <c r="A159" s="44"/>
      <c r="B159" s="19" t="s">
        <v>1891</v>
      </c>
      <c r="C159" s="20" t="s">
        <v>1872</v>
      </c>
      <c r="D159" s="20" t="s">
        <v>34</v>
      </c>
      <c r="E159" s="20" t="s">
        <v>13</v>
      </c>
      <c r="F159" s="20">
        <v>40</v>
      </c>
      <c r="G159" s="20">
        <v>72.56</v>
      </c>
      <c r="H159" s="20" t="s">
        <v>16</v>
      </c>
      <c r="I159" s="20" t="str">
        <f>VLOOKUP(H159,Sheet4!A:B,2)</f>
        <v>GLOSS BLACK</v>
      </c>
      <c r="J159" s="42">
        <f>9-4-4+12-4-4-4+4+12+4-5-5-4-4-1+4-4+8-4+12-8+8-4-4-4-1-4+1+12-4-4-4+12-4-1-4-4+4+12-4-4-4-4+5+9</f>
        <v>15</v>
      </c>
      <c r="K159" s="91"/>
    </row>
    <row r="160" s="6" customFormat="1" ht="33" customHeight="1" spans="1:11">
      <c r="A160" s="46"/>
      <c r="B160" s="23" t="s">
        <v>1892</v>
      </c>
      <c r="C160" s="24" t="s">
        <v>1872</v>
      </c>
      <c r="D160" s="24" t="s">
        <v>34</v>
      </c>
      <c r="E160" s="24" t="s">
        <v>13</v>
      </c>
      <c r="F160" s="24">
        <v>40</v>
      </c>
      <c r="G160" s="24">
        <v>72.56</v>
      </c>
      <c r="H160" s="24" t="s">
        <v>1893</v>
      </c>
      <c r="I160" s="24" t="str">
        <f>VLOOKUP(H160,Sheet4!A:B,2)</f>
        <v>MATTE BRONZE</v>
      </c>
      <c r="J160" s="43">
        <f>4-4+4-4+8-4</f>
        <v>4</v>
      </c>
      <c r="K160" s="101"/>
    </row>
    <row r="161" s="6" customFormat="1" ht="114" customHeight="1" spans="1:11">
      <c r="A161" s="46"/>
      <c r="B161" s="23" t="s">
        <v>1894</v>
      </c>
      <c r="C161" s="24" t="s">
        <v>1872</v>
      </c>
      <c r="D161" s="24" t="s">
        <v>39</v>
      </c>
      <c r="E161" s="24" t="s">
        <v>13</v>
      </c>
      <c r="F161" s="24">
        <v>45</v>
      </c>
      <c r="G161" s="24">
        <v>72.56</v>
      </c>
      <c r="H161" s="24" t="s">
        <v>1895</v>
      </c>
      <c r="I161" s="24" t="str">
        <f>VLOOKUP(H161,Sheet4!A:B,2)</f>
        <v>Black+Polisph</v>
      </c>
      <c r="J161" s="51">
        <f>4-4</f>
        <v>0</v>
      </c>
      <c r="K161" s="125"/>
    </row>
    <row r="162" s="6" customFormat="1" ht="106" customHeight="1" spans="1:11">
      <c r="A162" s="159"/>
      <c r="B162" s="49" t="s">
        <v>1896</v>
      </c>
      <c r="C162" s="50" t="s">
        <v>1872</v>
      </c>
      <c r="D162" s="50" t="s">
        <v>34</v>
      </c>
      <c r="E162" s="50" t="s">
        <v>13</v>
      </c>
      <c r="F162" s="50">
        <v>40</v>
      </c>
      <c r="G162" s="50">
        <v>72.56</v>
      </c>
      <c r="H162" s="50" t="s">
        <v>16</v>
      </c>
      <c r="I162" s="50" t="str">
        <f>VLOOKUP(H162,Sheet4!A:B,2)</f>
        <v>GLOSS BLACK</v>
      </c>
      <c r="J162" s="51">
        <f>5+5-4-4</f>
        <v>2</v>
      </c>
      <c r="K162" s="125"/>
    </row>
    <row r="163" s="6" customFormat="1" ht="41" customHeight="1" spans="1:11">
      <c r="A163" s="44"/>
      <c r="B163" s="19" t="s">
        <v>1897</v>
      </c>
      <c r="C163" s="20" t="s">
        <v>1872</v>
      </c>
      <c r="D163" s="20" t="s">
        <v>19</v>
      </c>
      <c r="E163" s="20" t="s">
        <v>13</v>
      </c>
      <c r="F163" s="20">
        <v>40</v>
      </c>
      <c r="G163" s="20">
        <v>72.56</v>
      </c>
      <c r="H163" s="20" t="s">
        <v>16</v>
      </c>
      <c r="I163" s="20" t="str">
        <f>VLOOKUP(H163,Sheet4!A:B,2)</f>
        <v>GLOSS BLACK</v>
      </c>
      <c r="J163" s="42">
        <f>4-4+4-4+4-4+8-4+4-5+1-4+8-4-4+8-4-4+12-4-5+13</f>
        <v>16</v>
      </c>
      <c r="K163" s="91"/>
    </row>
    <row r="164" s="6" customFormat="1" ht="35" customHeight="1" spans="1:11">
      <c r="A164" s="44"/>
      <c r="B164" s="19" t="s">
        <v>1898</v>
      </c>
      <c r="C164" s="20" t="s">
        <v>1872</v>
      </c>
      <c r="D164" s="20" t="s">
        <v>39</v>
      </c>
      <c r="E164" s="20" t="s">
        <v>13</v>
      </c>
      <c r="F164" s="20">
        <v>40</v>
      </c>
      <c r="G164" s="20">
        <v>72.56</v>
      </c>
      <c r="H164" s="20" t="s">
        <v>16</v>
      </c>
      <c r="I164" s="20" t="str">
        <f>VLOOKUP(H164,Sheet4!A:B,2)</f>
        <v>GLOSS BLACK</v>
      </c>
      <c r="J164" s="42">
        <f>8-4+4+4-4-4+1-1-4</f>
        <v>0</v>
      </c>
      <c r="K164" s="91"/>
    </row>
    <row r="165" s="6" customFormat="1" ht="42" customHeight="1" spans="1:11">
      <c r="A165" s="46"/>
      <c r="B165" s="23" t="s">
        <v>1899</v>
      </c>
      <c r="C165" s="24" t="s">
        <v>1872</v>
      </c>
      <c r="D165" s="24" t="s">
        <v>34</v>
      </c>
      <c r="E165" s="24" t="s">
        <v>13</v>
      </c>
      <c r="F165" s="24">
        <v>40</v>
      </c>
      <c r="G165" s="24">
        <v>72.56</v>
      </c>
      <c r="H165" s="24" t="s">
        <v>16</v>
      </c>
      <c r="I165" s="24" t="str">
        <f>VLOOKUP(H165,Sheet4!A:B,2)</f>
        <v>GLOSS BLACK</v>
      </c>
      <c r="J165" s="43">
        <f>6-1-4+12-5-1+1-4-4+4+8-4-4-4+4-4+10-5-4+8-4-4+12-4-4-4+4-4+8-5+1+4-4-4+2+2-5+1-1+14+14-5-5-5-4-4-4+4+4-4+4+4+1+3-4-4-4-4+4-4+3-4+5-4-1+7</f>
        <v>7</v>
      </c>
      <c r="K165" s="101"/>
    </row>
    <row r="166" s="6" customFormat="1" ht="118" customHeight="1" spans="1:11">
      <c r="A166" s="52"/>
      <c r="B166" s="23" t="s">
        <v>1900</v>
      </c>
      <c r="C166" s="24" t="s">
        <v>1872</v>
      </c>
      <c r="D166" s="24" t="s">
        <v>19</v>
      </c>
      <c r="E166" s="24" t="s">
        <v>13</v>
      </c>
      <c r="F166" s="156">
        <v>40</v>
      </c>
      <c r="G166" s="24">
        <v>72.56</v>
      </c>
      <c r="H166" s="24" t="s">
        <v>16</v>
      </c>
      <c r="I166" s="24" t="str">
        <f>VLOOKUP(H166,Sheet4!A:B,2)</f>
        <v>GLOSS BLACK</v>
      </c>
      <c r="J166" s="43">
        <f>8-5+1-4+4-4+8+4-4-1-4</f>
        <v>3</v>
      </c>
      <c r="K166" s="101"/>
    </row>
    <row r="167" s="6" customFormat="1" ht="115" customHeight="1" spans="1:11">
      <c r="A167" s="46"/>
      <c r="B167" s="23" t="s">
        <v>1901</v>
      </c>
      <c r="C167" s="24" t="s">
        <v>1872</v>
      </c>
      <c r="D167" s="24" t="s">
        <v>19</v>
      </c>
      <c r="E167" s="24" t="s">
        <v>13</v>
      </c>
      <c r="F167" s="156">
        <v>40</v>
      </c>
      <c r="G167" s="24">
        <v>72.56</v>
      </c>
      <c r="H167" s="24" t="s">
        <v>1902</v>
      </c>
      <c r="I167" s="24" t="str">
        <f>VLOOKUP(H167,Sheet4!A:B,2)</f>
        <v>WHITE</v>
      </c>
      <c r="J167" s="43">
        <f>4-4+8-4-4</f>
        <v>0</v>
      </c>
      <c r="K167" s="101"/>
    </row>
    <row r="168" s="6" customFormat="1" ht="118" customHeight="1" spans="1:11">
      <c r="A168" s="52"/>
      <c r="B168" s="23" t="s">
        <v>1903</v>
      </c>
      <c r="C168" s="24" t="s">
        <v>1872</v>
      </c>
      <c r="D168" s="24" t="s">
        <v>19</v>
      </c>
      <c r="E168" s="24" t="s">
        <v>13</v>
      </c>
      <c r="F168" s="156">
        <v>40</v>
      </c>
      <c r="G168" s="24">
        <v>72.56</v>
      </c>
      <c r="H168" s="24" t="s">
        <v>1904</v>
      </c>
      <c r="I168" s="24" t="str">
        <f>VLOOKUP(H168,Sheet4!A:B,2)</f>
        <v>Gloss Black</v>
      </c>
      <c r="J168" s="43">
        <f>14-5</f>
        <v>9</v>
      </c>
      <c r="K168" s="101"/>
    </row>
    <row r="169" s="6" customFormat="1" ht="115" customHeight="1" spans="1:11">
      <c r="A169" s="160"/>
      <c r="B169" s="23" t="s">
        <v>1905</v>
      </c>
      <c r="C169" s="24" t="s">
        <v>1872</v>
      </c>
      <c r="D169" s="24" t="s">
        <v>19</v>
      </c>
      <c r="E169" s="24" t="s">
        <v>13</v>
      </c>
      <c r="F169" s="156">
        <v>40</v>
      </c>
      <c r="G169" s="24">
        <v>72.56</v>
      </c>
      <c r="H169" s="24" t="s">
        <v>1906</v>
      </c>
      <c r="I169" s="24" t="str">
        <f>VLOOKUP(H169,Sheet4!A:B,2)</f>
        <v>WHITE</v>
      </c>
      <c r="J169" s="43">
        <v>0</v>
      </c>
      <c r="K169" s="101"/>
    </row>
    <row r="170" s="6" customFormat="1" ht="36" customHeight="1" spans="1:11">
      <c r="A170" s="52"/>
      <c r="B170" s="19" t="s">
        <v>1907</v>
      </c>
      <c r="C170" s="20" t="s">
        <v>1872</v>
      </c>
      <c r="D170" s="20" t="s">
        <v>19</v>
      </c>
      <c r="E170" s="20" t="s">
        <v>13</v>
      </c>
      <c r="F170" s="20">
        <v>40</v>
      </c>
      <c r="G170" s="20">
        <v>72.56</v>
      </c>
      <c r="H170" s="20" t="s">
        <v>1908</v>
      </c>
      <c r="I170" s="20" t="str">
        <f>VLOOKUP(H170,Sheet4!A:B,2)</f>
        <v>MATTE BLACK</v>
      </c>
      <c r="J170" s="42">
        <f>3-1-1-1</f>
        <v>0</v>
      </c>
      <c r="K170" s="91"/>
    </row>
    <row r="171" s="6" customFormat="1" ht="33" customHeight="1" spans="1:11">
      <c r="A171" s="44"/>
      <c r="B171" s="19" t="s">
        <v>1909</v>
      </c>
      <c r="C171" s="20" t="s">
        <v>1872</v>
      </c>
      <c r="D171" s="20" t="s">
        <v>19</v>
      </c>
      <c r="E171" s="20" t="s">
        <v>13</v>
      </c>
      <c r="F171" s="20">
        <v>40</v>
      </c>
      <c r="G171" s="20">
        <v>72.56</v>
      </c>
      <c r="H171" s="20" t="s">
        <v>1893</v>
      </c>
      <c r="I171" s="20" t="str">
        <f>VLOOKUP(H171,Sheet4!A:B,2)</f>
        <v>MATTE BRONZE</v>
      </c>
      <c r="J171" s="42">
        <f>4-4+1-1+4-4</f>
        <v>0</v>
      </c>
      <c r="K171" s="91"/>
    </row>
    <row r="172" s="6" customFormat="1" ht="33" customHeight="1" spans="1:11">
      <c r="A172" s="46"/>
      <c r="B172" s="23" t="s">
        <v>1910</v>
      </c>
      <c r="C172" s="24" t="s">
        <v>1872</v>
      </c>
      <c r="D172" s="24" t="s">
        <v>19</v>
      </c>
      <c r="E172" s="24" t="s">
        <v>13</v>
      </c>
      <c r="F172" s="24">
        <v>40</v>
      </c>
      <c r="G172" s="24">
        <v>72.56</v>
      </c>
      <c r="H172" s="24" t="s">
        <v>159</v>
      </c>
      <c r="I172" s="24" t="str">
        <f>VLOOKUP(H172,Sheet4!A:B,2)</f>
        <v>MATTE BLACK</v>
      </c>
      <c r="J172" s="43">
        <f>4-4+4-4+4-4+8-5+5-4-1+1+9-4-5-4+9</f>
        <v>9</v>
      </c>
      <c r="K172" s="101"/>
    </row>
    <row r="173" s="6" customFormat="1" ht="106" customHeight="1" spans="1:11">
      <c r="A173" s="160"/>
      <c r="B173" s="23" t="s">
        <v>1911</v>
      </c>
      <c r="C173" s="24" t="s">
        <v>1872</v>
      </c>
      <c r="D173" s="24" t="s">
        <v>34</v>
      </c>
      <c r="E173" s="24" t="s">
        <v>13</v>
      </c>
      <c r="F173" s="24">
        <v>38</v>
      </c>
      <c r="G173" s="24">
        <v>72.56</v>
      </c>
      <c r="H173" s="24" t="s">
        <v>1912</v>
      </c>
      <c r="I173" s="69" t="str">
        <f>VLOOKUP(H173,Sheet4!A:B,2)</f>
        <v>Gloss Black SET PINK</v>
      </c>
      <c r="J173" s="43">
        <f>8-5+9-4-4-4</f>
        <v>0</v>
      </c>
      <c r="K173" s="101"/>
    </row>
  </sheetData>
  <autoFilter xmlns:etc="http://www.wps.cn/officeDocument/2017/etCustomData" ref="A2:K173" etc:filterBottomFollowUsedRange="0">
    <extLst/>
  </autoFilter>
  <mergeCells count="3">
    <mergeCell ref="A142:A143"/>
    <mergeCell ref="A163:A165"/>
    <mergeCell ref="A170:A172"/>
  </mergeCells>
  <pageMargins left="0.0388888888888889" right="0.0388888888888889" top="0.274305555555556" bottom="0.313888888888889" header="0.510416666666667" footer="0.118055555555556"/>
  <pageSetup paperSize="9" scale="60" orientation="portrait" horizontalDpi="600" verticalDpi="180"/>
  <headerFooter>
    <oddFooter>&amp;C&amp;14&amp;B路虎 第 &amp;P 页，共 &amp;N 页</oddFooter>
  </headerFooter>
  <rowBreaks count="5" manualBreakCount="5">
    <brk id="41" max="10" man="1"/>
    <brk id="60" max="16383" man="1"/>
    <brk id="78" max="10" man="1"/>
    <brk id="135" max="10" man="1"/>
    <brk id="153" max="10" man="1"/>
  </rowBreaks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indexed="17"/>
  </sheetPr>
  <dimension ref="A1:J42"/>
  <sheetViews>
    <sheetView workbookViewId="0">
      <pane xSplit="1" ySplit="2" topLeftCell="B17" activePane="bottomRight" state="frozen"/>
      <selection/>
      <selection pane="topRight"/>
      <selection pane="bottomLeft"/>
      <selection pane="bottomRight" activeCell="I27" sqref="I27"/>
    </sheetView>
  </sheetViews>
  <sheetFormatPr defaultColWidth="9" defaultRowHeight="13.5"/>
  <cols>
    <col min="1" max="1" width="23.3583333333333" style="107" customWidth="1"/>
    <col min="2" max="2" width="17.175" style="90" customWidth="1"/>
    <col min="3" max="3" width="12.825" style="90" customWidth="1"/>
    <col min="4" max="4" width="11.625" style="90" customWidth="1"/>
    <col min="5" max="5" width="12.875" style="90" customWidth="1"/>
    <col min="6" max="6" width="6.51666666666667" style="90" customWidth="1"/>
    <col min="7" max="7" width="10.2166666666667" style="90" customWidth="1"/>
    <col min="8" max="8" width="15.1083333333333" style="90" customWidth="1"/>
    <col min="9" max="9" width="22.625" style="90" customWidth="1"/>
    <col min="10" max="10" width="14.0166666666667" style="108" customWidth="1"/>
    <col min="11" max="30" width="9" style="6"/>
    <col min="31" max="16384" width="9" style="8"/>
  </cols>
  <sheetData>
    <row r="1" ht="104" customHeight="1"/>
    <row r="2" s="8" customFormat="1" ht="24" customHeight="1" spans="1:10">
      <c r="A2" s="93" t="s">
        <v>0</v>
      </c>
      <c r="B2" s="94" t="s">
        <v>1</v>
      </c>
      <c r="C2" s="94" t="s">
        <v>2</v>
      </c>
      <c r="D2" s="94" t="s">
        <v>3</v>
      </c>
      <c r="E2" s="94" t="s">
        <v>4</v>
      </c>
      <c r="F2" s="94" t="s">
        <v>5</v>
      </c>
      <c r="G2" s="94" t="s">
        <v>6</v>
      </c>
      <c r="H2" s="94" t="s">
        <v>7</v>
      </c>
      <c r="I2" s="94" t="s">
        <v>8</v>
      </c>
      <c r="J2" s="93" t="s">
        <v>9</v>
      </c>
    </row>
    <row r="3" s="6" customFormat="1" ht="26" customHeight="1" spans="1:10">
      <c r="A3" s="44"/>
      <c r="B3" s="19" t="s">
        <v>1913</v>
      </c>
      <c r="C3" s="109" t="s">
        <v>1914</v>
      </c>
      <c r="D3" s="109" t="s">
        <v>23</v>
      </c>
      <c r="E3" s="109" t="s">
        <v>40</v>
      </c>
      <c r="F3" s="109">
        <v>30</v>
      </c>
      <c r="G3" s="109">
        <v>67.1</v>
      </c>
      <c r="H3" s="19" t="s">
        <v>16</v>
      </c>
      <c r="I3" s="19" t="str">
        <f>VLOOKUP(H3,Sheet4!A:B,2,)</f>
        <v>GLOSS BLACK</v>
      </c>
      <c r="J3" s="21">
        <v>0</v>
      </c>
    </row>
    <row r="4" s="6" customFormat="1" ht="26" customHeight="1" spans="1:10">
      <c r="A4" s="44"/>
      <c r="B4" s="19" t="s">
        <v>1913</v>
      </c>
      <c r="C4" s="109" t="s">
        <v>1914</v>
      </c>
      <c r="D4" s="109" t="s">
        <v>482</v>
      </c>
      <c r="E4" s="109" t="s">
        <v>40</v>
      </c>
      <c r="F4" s="109">
        <v>40</v>
      </c>
      <c r="G4" s="109">
        <v>67.1</v>
      </c>
      <c r="H4" s="19" t="s">
        <v>16</v>
      </c>
      <c r="I4" s="19" t="str">
        <f>VLOOKUP(H4,Sheet4!A:B,2,)</f>
        <v>GLOSS BLACK</v>
      </c>
      <c r="J4" s="21">
        <v>0</v>
      </c>
    </row>
    <row r="5" s="6" customFormat="1" ht="26" customHeight="1" spans="1:10">
      <c r="A5" s="44"/>
      <c r="B5" s="19" t="s">
        <v>1915</v>
      </c>
      <c r="C5" s="109" t="s">
        <v>1914</v>
      </c>
      <c r="D5" s="109" t="s">
        <v>23</v>
      </c>
      <c r="E5" s="109" t="s">
        <v>40</v>
      </c>
      <c r="F5" s="109">
        <v>30</v>
      </c>
      <c r="G5" s="109">
        <v>67.1</v>
      </c>
      <c r="H5" s="19" t="s">
        <v>69</v>
      </c>
      <c r="I5" s="19" t="str">
        <f>VLOOKUP(H5,Sheet4!A:B,2,)</f>
        <v>GREY</v>
      </c>
      <c r="J5" s="21">
        <f>2+6-2-2-2-2</f>
        <v>0</v>
      </c>
    </row>
    <row r="6" s="6" customFormat="1" ht="26" customHeight="1" spans="1:10">
      <c r="A6" s="44"/>
      <c r="B6" s="19" t="s">
        <v>1915</v>
      </c>
      <c r="C6" s="109" t="s">
        <v>1914</v>
      </c>
      <c r="D6" s="109" t="s">
        <v>482</v>
      </c>
      <c r="E6" s="109" t="s">
        <v>40</v>
      </c>
      <c r="F6" s="109">
        <v>40</v>
      </c>
      <c r="G6" s="109">
        <v>67.1</v>
      </c>
      <c r="H6" s="19" t="s">
        <v>69</v>
      </c>
      <c r="I6" s="19" t="str">
        <f>VLOOKUP(H6,Sheet4!A:B,2,)</f>
        <v>GREY</v>
      </c>
      <c r="J6" s="21">
        <f>2+6-2-2-2-2</f>
        <v>0</v>
      </c>
    </row>
    <row r="7" s="6" customFormat="1" ht="26" customHeight="1" spans="1:10">
      <c r="A7" s="44"/>
      <c r="B7" s="19" t="s">
        <v>1916</v>
      </c>
      <c r="C7" s="109" t="s">
        <v>1914</v>
      </c>
      <c r="D7" s="109" t="s">
        <v>23</v>
      </c>
      <c r="E7" s="109" t="s">
        <v>40</v>
      </c>
      <c r="F7" s="109">
        <v>30</v>
      </c>
      <c r="G7" s="109">
        <v>67.1</v>
      </c>
      <c r="H7" s="19" t="s">
        <v>87</v>
      </c>
      <c r="I7" s="110" t="str">
        <f>VLOOKUP(H7,Sheet4!A:B,2,)</f>
        <v>Gunmetal Machine Face</v>
      </c>
      <c r="J7" s="21">
        <f>4-2-2</f>
        <v>0</v>
      </c>
    </row>
    <row r="8" s="6" customFormat="1" ht="26" customHeight="1" spans="1:10">
      <c r="A8" s="44"/>
      <c r="B8" s="19" t="s">
        <v>1916</v>
      </c>
      <c r="C8" s="109" t="s">
        <v>1914</v>
      </c>
      <c r="D8" s="109" t="s">
        <v>482</v>
      </c>
      <c r="E8" s="109" t="s">
        <v>40</v>
      </c>
      <c r="F8" s="109">
        <v>40</v>
      </c>
      <c r="G8" s="109">
        <v>67.1</v>
      </c>
      <c r="H8" s="19" t="s">
        <v>87</v>
      </c>
      <c r="I8" s="110" t="str">
        <f>VLOOKUP(H8,Sheet4!A:B,2,)</f>
        <v>Gunmetal Machine Face</v>
      </c>
      <c r="J8" s="21">
        <f>4-2-2</f>
        <v>0</v>
      </c>
    </row>
    <row r="9" s="6" customFormat="1" ht="26" customHeight="1" spans="1:10">
      <c r="A9" s="44"/>
      <c r="B9" s="19" t="s">
        <v>1917</v>
      </c>
      <c r="C9" s="109" t="s">
        <v>1914</v>
      </c>
      <c r="D9" s="109" t="s">
        <v>19</v>
      </c>
      <c r="E9" s="109" t="s">
        <v>40</v>
      </c>
      <c r="F9" s="109">
        <v>35</v>
      </c>
      <c r="G9" s="109">
        <v>67.1</v>
      </c>
      <c r="H9" s="19" t="s">
        <v>317</v>
      </c>
      <c r="I9" s="19" t="str">
        <f>VLOOKUP(H9,Sheet4!A:B,2,)</f>
        <v>MATTE GREY</v>
      </c>
      <c r="J9" s="21">
        <f>4-2-2+2-2+2-2+4-2-2+2-2+2-2+4-2+2-2-2+2+6-2-2</f>
        <v>4</v>
      </c>
    </row>
    <row r="10" s="6" customFormat="1" ht="26" customHeight="1" spans="1:10">
      <c r="A10" s="44"/>
      <c r="B10" s="19" t="s">
        <v>1917</v>
      </c>
      <c r="C10" s="109" t="s">
        <v>1914</v>
      </c>
      <c r="D10" s="109" t="s">
        <v>878</v>
      </c>
      <c r="E10" s="109" t="s">
        <v>40</v>
      </c>
      <c r="F10" s="109">
        <v>42</v>
      </c>
      <c r="G10" s="109">
        <v>67.1</v>
      </c>
      <c r="H10" s="19" t="s">
        <v>317</v>
      </c>
      <c r="I10" s="19" t="str">
        <f>VLOOKUP(H10,Sheet4!A:B,2,)</f>
        <v>MATTE GREY</v>
      </c>
      <c r="J10" s="21">
        <f>4-2-2+2-2+2-2+4-2-2+2-2+2-2+4-2+2-2-2+2+6-2-2</f>
        <v>4</v>
      </c>
    </row>
    <row r="11" s="6" customFormat="1" ht="26" customHeight="1" spans="1:10">
      <c r="A11" s="44"/>
      <c r="B11" s="19" t="s">
        <v>1918</v>
      </c>
      <c r="C11" s="109" t="s">
        <v>1914</v>
      </c>
      <c r="D11" s="109" t="s">
        <v>19</v>
      </c>
      <c r="E11" s="109" t="s">
        <v>40</v>
      </c>
      <c r="F11" s="109">
        <v>35</v>
      </c>
      <c r="G11" s="109">
        <v>67.1</v>
      </c>
      <c r="H11" s="19" t="s">
        <v>16</v>
      </c>
      <c r="I11" s="19" t="str">
        <f>VLOOKUP(H11,Sheet4!A:B,2,)</f>
        <v>GLOSS BLACK</v>
      </c>
      <c r="J11" s="21">
        <f>1+2-2+4+2-2-2-2+4-2-2+6-2-2-2+6-2-2-2+4+2-1</f>
        <v>6</v>
      </c>
    </row>
    <row r="12" s="6" customFormat="1" ht="26" customHeight="1" spans="1:10">
      <c r="A12" s="44"/>
      <c r="B12" s="19" t="s">
        <v>1918</v>
      </c>
      <c r="C12" s="109" t="s">
        <v>1914</v>
      </c>
      <c r="D12" s="109" t="s">
        <v>878</v>
      </c>
      <c r="E12" s="109" t="s">
        <v>40</v>
      </c>
      <c r="F12" s="109">
        <v>42</v>
      </c>
      <c r="G12" s="109">
        <v>67.1</v>
      </c>
      <c r="H12" s="19" t="s">
        <v>16</v>
      </c>
      <c r="I12" s="19" t="str">
        <f>VLOOKUP(H12,Sheet4!A:B,2,)</f>
        <v>GLOSS BLACK</v>
      </c>
      <c r="J12" s="21">
        <f>2-2+4+2-2-2-2+4-2-2+6-2-2-2+6-2-2-2+4+2</f>
        <v>6</v>
      </c>
    </row>
    <row r="13" s="6" customFormat="1" ht="26" customHeight="1" spans="1:10">
      <c r="A13" s="44"/>
      <c r="B13" s="19" t="s">
        <v>1919</v>
      </c>
      <c r="C13" s="109" t="s">
        <v>1914</v>
      </c>
      <c r="D13" s="109" t="s">
        <v>31</v>
      </c>
      <c r="E13" s="109" t="s">
        <v>40</v>
      </c>
      <c r="F13" s="109">
        <v>35</v>
      </c>
      <c r="G13" s="109">
        <v>67.1</v>
      </c>
      <c r="H13" s="19" t="s">
        <v>1920</v>
      </c>
      <c r="I13" s="19" t="e">
        <f>VLOOKUP(H13,Sheet4!A:B,2,)</f>
        <v>#N/A</v>
      </c>
      <c r="J13" s="21">
        <v>6</v>
      </c>
    </row>
    <row r="14" s="6" customFormat="1" ht="26" customHeight="1" spans="1:10">
      <c r="A14" s="44"/>
      <c r="B14" s="19" t="s">
        <v>1919</v>
      </c>
      <c r="C14" s="109" t="s">
        <v>1914</v>
      </c>
      <c r="D14" s="109" t="s">
        <v>493</v>
      </c>
      <c r="E14" s="109" t="s">
        <v>40</v>
      </c>
      <c r="F14" s="109">
        <v>42</v>
      </c>
      <c r="G14" s="109">
        <v>67.1</v>
      </c>
      <c r="H14" s="19" t="s">
        <v>1920</v>
      </c>
      <c r="I14" s="19" t="e">
        <f>VLOOKUP(H14,Sheet4!A:B,2,)</f>
        <v>#N/A</v>
      </c>
      <c r="J14" s="21">
        <v>6</v>
      </c>
    </row>
    <row r="15" s="6" customFormat="1" ht="26" customHeight="1" spans="1:10">
      <c r="A15" s="44"/>
      <c r="B15" s="19" t="s">
        <v>1921</v>
      </c>
      <c r="C15" s="109" t="s">
        <v>1914</v>
      </c>
      <c r="D15" s="109" t="s">
        <v>1922</v>
      </c>
      <c r="E15" s="109" t="s">
        <v>40</v>
      </c>
      <c r="F15" s="109">
        <v>35</v>
      </c>
      <c r="G15" s="109">
        <v>67.1</v>
      </c>
      <c r="H15" s="19" t="s">
        <v>16</v>
      </c>
      <c r="I15" s="19" t="str">
        <f>VLOOKUP(H15,Sheet4!A:B,2,)</f>
        <v>GLOSS BLACK</v>
      </c>
      <c r="J15" s="21">
        <f>4-2-2+6-2-2-2</f>
        <v>0</v>
      </c>
    </row>
    <row r="16" s="6" customFormat="1" ht="26" customHeight="1" spans="1:10">
      <c r="A16" s="46"/>
      <c r="B16" s="23" t="s">
        <v>1921</v>
      </c>
      <c r="C16" s="111" t="s">
        <v>1914</v>
      </c>
      <c r="D16" s="111" t="s">
        <v>493</v>
      </c>
      <c r="E16" s="111" t="s">
        <v>40</v>
      </c>
      <c r="F16" s="111">
        <v>42</v>
      </c>
      <c r="G16" s="111">
        <v>67.1</v>
      </c>
      <c r="H16" s="23" t="s">
        <v>16</v>
      </c>
      <c r="I16" s="23" t="str">
        <f>VLOOKUP(H16,Sheet4!A:B,2,)</f>
        <v>GLOSS BLACK</v>
      </c>
      <c r="J16" s="25">
        <f>4-2-2+6-2-2-2</f>
        <v>0</v>
      </c>
    </row>
    <row r="17" s="6" customFormat="1" ht="60" customHeight="1" spans="1:10">
      <c r="A17" s="44"/>
      <c r="B17" s="19" t="s">
        <v>1923</v>
      </c>
      <c r="C17" s="109" t="s">
        <v>1914</v>
      </c>
      <c r="D17" s="109" t="s">
        <v>29</v>
      </c>
      <c r="E17" s="109" t="s">
        <v>40</v>
      </c>
      <c r="F17" s="109">
        <v>35</v>
      </c>
      <c r="G17" s="109">
        <v>67.1</v>
      </c>
      <c r="H17" s="19" t="s">
        <v>87</v>
      </c>
      <c r="I17" s="19" t="str">
        <f>VLOOKUP(H17,Sheet4!A:B,2,)</f>
        <v>Gunmetal Machine Face</v>
      </c>
      <c r="J17" s="21">
        <f>4</f>
        <v>4</v>
      </c>
    </row>
    <row r="18" s="6" customFormat="1" ht="60" customHeight="1" spans="1:10">
      <c r="A18" s="112"/>
      <c r="B18" s="49" t="s">
        <v>1923</v>
      </c>
      <c r="C18" s="113" t="s">
        <v>1914</v>
      </c>
      <c r="D18" s="113" t="s">
        <v>225</v>
      </c>
      <c r="E18" s="113" t="s">
        <v>40</v>
      </c>
      <c r="F18" s="113">
        <v>40</v>
      </c>
      <c r="G18" s="113">
        <v>67.1</v>
      </c>
      <c r="H18" s="49" t="s">
        <v>87</v>
      </c>
      <c r="I18" s="49" t="str">
        <f>VLOOKUP(H18,Sheet4!A:B,2,)</f>
        <v>Gunmetal Machine Face</v>
      </c>
      <c r="J18" s="114">
        <f>4</f>
        <v>4</v>
      </c>
    </row>
    <row r="19" s="6" customFormat="1" ht="30" customHeight="1" spans="1:10">
      <c r="A19" s="44"/>
      <c r="B19" s="19" t="s">
        <v>1924</v>
      </c>
      <c r="C19" s="19" t="s">
        <v>1925</v>
      </c>
      <c r="D19" s="109" t="s">
        <v>19</v>
      </c>
      <c r="E19" s="109" t="s">
        <v>40</v>
      </c>
      <c r="F19" s="109">
        <v>35</v>
      </c>
      <c r="G19" s="109">
        <v>67.1</v>
      </c>
      <c r="H19" s="19" t="s">
        <v>21</v>
      </c>
      <c r="I19" s="110" t="str">
        <f>VLOOKUP(H19,Sheet4!A:B,2,)</f>
        <v>Black Machine Face</v>
      </c>
      <c r="J19" s="21">
        <f>2-2+2-2</f>
        <v>0</v>
      </c>
    </row>
    <row r="20" s="6" customFormat="1" ht="30" customHeight="1" spans="1:10">
      <c r="A20" s="52"/>
      <c r="B20" s="19" t="s">
        <v>1924</v>
      </c>
      <c r="C20" s="19" t="s">
        <v>1925</v>
      </c>
      <c r="D20" s="109" t="s">
        <v>878</v>
      </c>
      <c r="E20" s="109" t="s">
        <v>40</v>
      </c>
      <c r="F20" s="109">
        <v>42</v>
      </c>
      <c r="G20" s="109">
        <v>67.1</v>
      </c>
      <c r="H20" s="19" t="s">
        <v>21</v>
      </c>
      <c r="I20" s="110" t="str">
        <f>VLOOKUP(H20,Sheet4!A:B,2,)</f>
        <v>Black Machine Face</v>
      </c>
      <c r="J20" s="21">
        <f>2-2+2-2</f>
        <v>0</v>
      </c>
    </row>
    <row r="21" s="6" customFormat="1" ht="30" customHeight="1" spans="1:10">
      <c r="A21" s="44"/>
      <c r="B21" s="19" t="s">
        <v>1926</v>
      </c>
      <c r="C21" s="19" t="s">
        <v>1925</v>
      </c>
      <c r="D21" s="109" t="s">
        <v>31</v>
      </c>
      <c r="E21" s="109" t="s">
        <v>40</v>
      </c>
      <c r="F21" s="109">
        <v>35</v>
      </c>
      <c r="G21" s="109">
        <v>67.1</v>
      </c>
      <c r="H21" s="19" t="s">
        <v>21</v>
      </c>
      <c r="I21" s="110" t="str">
        <f>VLOOKUP(H21,Sheet4!A:B,2,)</f>
        <v>Black Machine Face</v>
      </c>
      <c r="J21" s="21">
        <f>2-2</f>
        <v>0</v>
      </c>
    </row>
    <row r="22" s="6" customFormat="1" ht="35" customHeight="1" spans="1:10">
      <c r="A22" s="46"/>
      <c r="B22" s="23" t="s">
        <v>1926</v>
      </c>
      <c r="C22" s="23" t="s">
        <v>1925</v>
      </c>
      <c r="D22" s="111" t="s">
        <v>556</v>
      </c>
      <c r="E22" s="111" t="s">
        <v>40</v>
      </c>
      <c r="F22" s="111">
        <v>42</v>
      </c>
      <c r="G22" s="111">
        <v>67.1</v>
      </c>
      <c r="H22" s="23" t="s">
        <v>21</v>
      </c>
      <c r="I22" s="36" t="str">
        <f>VLOOKUP(H22,Sheet4!A:B,2,)</f>
        <v>Black Machine Face</v>
      </c>
      <c r="J22" s="25">
        <f>2-2</f>
        <v>0</v>
      </c>
    </row>
    <row r="23" s="6" customFormat="1" ht="33" customHeight="1" spans="1:10">
      <c r="A23" s="44"/>
      <c r="B23" s="19" t="s">
        <v>1927</v>
      </c>
      <c r="C23" s="19" t="s">
        <v>1925</v>
      </c>
      <c r="D23" s="109" t="s">
        <v>19</v>
      </c>
      <c r="E23" s="109" t="s">
        <v>40</v>
      </c>
      <c r="F23" s="109">
        <v>35</v>
      </c>
      <c r="G23" s="109">
        <v>67.1</v>
      </c>
      <c r="H23" s="19" t="s">
        <v>87</v>
      </c>
      <c r="I23" s="110" t="str">
        <f>VLOOKUP(H23,Sheet4!A:B,2,)</f>
        <v>Gunmetal Machine Face</v>
      </c>
      <c r="J23" s="21">
        <v>0</v>
      </c>
    </row>
    <row r="24" s="6" customFormat="1" ht="33" customHeight="1" spans="1:10">
      <c r="A24" s="44"/>
      <c r="B24" s="19" t="s">
        <v>1927</v>
      </c>
      <c r="C24" s="19" t="s">
        <v>1925</v>
      </c>
      <c r="D24" s="109" t="s">
        <v>878</v>
      </c>
      <c r="E24" s="109" t="s">
        <v>40</v>
      </c>
      <c r="F24" s="109">
        <v>42</v>
      </c>
      <c r="G24" s="109">
        <v>67.1</v>
      </c>
      <c r="H24" s="19" t="s">
        <v>87</v>
      </c>
      <c r="I24" s="110" t="str">
        <f>VLOOKUP(H24,Sheet4!A:B,2,)</f>
        <v>Gunmetal Machine Face</v>
      </c>
      <c r="J24" s="21">
        <v>0</v>
      </c>
    </row>
    <row r="25" s="6" customFormat="1" ht="33" customHeight="1" spans="1:10">
      <c r="A25" s="44"/>
      <c r="B25" s="19" t="s">
        <v>1928</v>
      </c>
      <c r="C25" s="19" t="s">
        <v>1925</v>
      </c>
      <c r="D25" s="109" t="s">
        <v>31</v>
      </c>
      <c r="E25" s="109" t="s">
        <v>40</v>
      </c>
      <c r="F25" s="109">
        <v>35</v>
      </c>
      <c r="G25" s="109">
        <v>67.1</v>
      </c>
      <c r="H25" s="19" t="s">
        <v>87</v>
      </c>
      <c r="I25" s="110" t="str">
        <f>VLOOKUP(H25,Sheet4!A:B,2,)</f>
        <v>Gunmetal Machine Face</v>
      </c>
      <c r="J25" s="21">
        <f>2-2</f>
        <v>0</v>
      </c>
    </row>
    <row r="26" s="6" customFormat="1" ht="33" customHeight="1" spans="1:10">
      <c r="A26" s="46"/>
      <c r="B26" s="23" t="s">
        <v>1928</v>
      </c>
      <c r="C26" s="23" t="s">
        <v>1925</v>
      </c>
      <c r="D26" s="111" t="s">
        <v>493</v>
      </c>
      <c r="E26" s="111" t="s">
        <v>40</v>
      </c>
      <c r="F26" s="111">
        <v>42</v>
      </c>
      <c r="G26" s="111">
        <v>67.1</v>
      </c>
      <c r="H26" s="23" t="s">
        <v>87</v>
      </c>
      <c r="I26" s="36" t="str">
        <f>VLOOKUP(H26,Sheet4!A:B,2,)</f>
        <v>Gunmetal Machine Face</v>
      </c>
      <c r="J26" s="25">
        <f>1+1-2</f>
        <v>0</v>
      </c>
    </row>
    <row r="27" s="6" customFormat="1" ht="25" customHeight="1" spans="1:10">
      <c r="A27" s="44"/>
      <c r="B27" s="19" t="s">
        <v>1929</v>
      </c>
      <c r="C27" s="20" t="s">
        <v>1930</v>
      </c>
      <c r="D27" s="20" t="s">
        <v>19</v>
      </c>
      <c r="E27" s="20" t="s">
        <v>40</v>
      </c>
      <c r="F27" s="20">
        <v>35</v>
      </c>
      <c r="G27" s="20">
        <v>67.1</v>
      </c>
      <c r="H27" s="20" t="s">
        <v>87</v>
      </c>
      <c r="I27" s="66" t="str">
        <f>VLOOKUP(H27,Sheet4!A:B,2,)</f>
        <v>Gunmetal Machine Face</v>
      </c>
      <c r="J27" s="42">
        <v>0</v>
      </c>
    </row>
    <row r="28" s="6" customFormat="1" ht="25" customHeight="1" spans="1:10">
      <c r="A28" s="44"/>
      <c r="B28" s="19" t="s">
        <v>1929</v>
      </c>
      <c r="C28" s="20" t="s">
        <v>1930</v>
      </c>
      <c r="D28" s="20" t="s">
        <v>878</v>
      </c>
      <c r="E28" s="20" t="s">
        <v>40</v>
      </c>
      <c r="F28" s="20">
        <v>42</v>
      </c>
      <c r="G28" s="20">
        <v>67.1</v>
      </c>
      <c r="H28" s="20" t="s">
        <v>87</v>
      </c>
      <c r="I28" s="66" t="str">
        <f>VLOOKUP(H28,Sheet4!A:B,2,)</f>
        <v>Gunmetal Machine Face</v>
      </c>
      <c r="J28" s="42">
        <v>0</v>
      </c>
    </row>
    <row r="29" s="6" customFormat="1" ht="25" customHeight="1" spans="1:10">
      <c r="A29" s="82"/>
      <c r="B29" s="19" t="s">
        <v>1931</v>
      </c>
      <c r="C29" s="20" t="s">
        <v>1930</v>
      </c>
      <c r="D29" s="20" t="s">
        <v>31</v>
      </c>
      <c r="E29" s="20" t="s">
        <v>40</v>
      </c>
      <c r="F29" s="20">
        <v>35</v>
      </c>
      <c r="G29" s="20">
        <v>67.1</v>
      </c>
      <c r="H29" s="20" t="s">
        <v>87</v>
      </c>
      <c r="I29" s="66" t="str">
        <f>VLOOKUP(H29,Sheet4!A:B,2,)</f>
        <v>Gunmetal Machine Face</v>
      </c>
      <c r="J29" s="42">
        <f>4-2-2+4-2-2</f>
        <v>0</v>
      </c>
    </row>
    <row r="30" s="6" customFormat="1" ht="25" customHeight="1" spans="1:10">
      <c r="A30" s="82"/>
      <c r="B30" s="19" t="s">
        <v>1931</v>
      </c>
      <c r="C30" s="20" t="s">
        <v>1930</v>
      </c>
      <c r="D30" s="20" t="s">
        <v>493</v>
      </c>
      <c r="E30" s="20" t="s">
        <v>40</v>
      </c>
      <c r="F30" s="20">
        <v>42</v>
      </c>
      <c r="G30" s="20">
        <v>67.1</v>
      </c>
      <c r="H30" s="20" t="s">
        <v>87</v>
      </c>
      <c r="I30" s="66" t="str">
        <f>VLOOKUP(H30,Sheet4!A:B,2,)</f>
        <v>Gunmetal Machine Face</v>
      </c>
      <c r="J30" s="42">
        <f>4-2-2+4-2-2</f>
        <v>0</v>
      </c>
    </row>
    <row r="31" s="6" customFormat="1" ht="25" customHeight="1" spans="1:10">
      <c r="A31" s="82"/>
      <c r="B31" s="19" t="s">
        <v>1932</v>
      </c>
      <c r="C31" s="20" t="s">
        <v>1930</v>
      </c>
      <c r="D31" s="20" t="s">
        <v>31</v>
      </c>
      <c r="E31" s="20" t="s">
        <v>40</v>
      </c>
      <c r="F31" s="20">
        <v>35</v>
      </c>
      <c r="G31" s="20">
        <v>67.1</v>
      </c>
      <c r="H31" s="20" t="s">
        <v>36</v>
      </c>
      <c r="I31" s="66" t="str">
        <f>VLOOKUP(H31,Sheet4!A:B,2,)</f>
        <v>Black Machine Face</v>
      </c>
      <c r="J31" s="42">
        <f>4-2</f>
        <v>2</v>
      </c>
    </row>
    <row r="32" s="6" customFormat="1" ht="25" customHeight="1" spans="1:10">
      <c r="A32" s="84"/>
      <c r="B32" s="23" t="s">
        <v>1932</v>
      </c>
      <c r="C32" s="24" t="s">
        <v>1930</v>
      </c>
      <c r="D32" s="24" t="s">
        <v>493</v>
      </c>
      <c r="E32" s="24" t="s">
        <v>40</v>
      </c>
      <c r="F32" s="24">
        <v>42</v>
      </c>
      <c r="G32" s="24">
        <v>67.1</v>
      </c>
      <c r="H32" s="24" t="s">
        <v>36</v>
      </c>
      <c r="I32" s="69" t="str">
        <f>VLOOKUP(H32,Sheet4!A:B,2,)</f>
        <v>Black Machine Face</v>
      </c>
      <c r="J32" s="43">
        <f>4-2</f>
        <v>2</v>
      </c>
    </row>
    <row r="33" s="6" customFormat="1" ht="22" customHeight="1" spans="1:10">
      <c r="A33" s="115"/>
      <c r="B33" s="19" t="s">
        <v>1933</v>
      </c>
      <c r="C33" s="19" t="s">
        <v>1934</v>
      </c>
      <c r="D33" s="20" t="s">
        <v>23</v>
      </c>
      <c r="E33" s="20" t="s">
        <v>40</v>
      </c>
      <c r="F33" s="20">
        <v>30</v>
      </c>
      <c r="G33" s="20">
        <v>67.1</v>
      </c>
      <c r="H33" s="20" t="s">
        <v>87</v>
      </c>
      <c r="I33" s="66" t="str">
        <f>VLOOKUP(H33,Sheet4!A:B,2,)</f>
        <v>Gunmetal Machine Face</v>
      </c>
      <c r="J33" s="42">
        <f>4-2-2+4-2-2</f>
        <v>0</v>
      </c>
    </row>
    <row r="34" s="6" customFormat="1" ht="22" customHeight="1" spans="1:10">
      <c r="A34" s="115"/>
      <c r="B34" s="19" t="s">
        <v>1933</v>
      </c>
      <c r="C34" s="19" t="s">
        <v>1934</v>
      </c>
      <c r="D34" s="20" t="s">
        <v>482</v>
      </c>
      <c r="E34" s="20" t="s">
        <v>40</v>
      </c>
      <c r="F34" s="20">
        <v>40</v>
      </c>
      <c r="G34" s="20">
        <v>67.1</v>
      </c>
      <c r="H34" s="20" t="s">
        <v>87</v>
      </c>
      <c r="I34" s="66" t="str">
        <f>VLOOKUP(H34,Sheet4!A:B,2,)</f>
        <v>Gunmetal Machine Face</v>
      </c>
      <c r="J34" s="42">
        <f>4-2-2+4-2-2</f>
        <v>0</v>
      </c>
    </row>
    <row r="35" s="6" customFormat="1" ht="22" customHeight="1" spans="1:10">
      <c r="A35" s="82"/>
      <c r="B35" s="19" t="s">
        <v>1935</v>
      </c>
      <c r="C35" s="19" t="s">
        <v>1934</v>
      </c>
      <c r="D35" s="20" t="s">
        <v>29</v>
      </c>
      <c r="E35" s="20" t="s">
        <v>40</v>
      </c>
      <c r="F35" s="20">
        <v>35</v>
      </c>
      <c r="G35" s="20">
        <v>67.1</v>
      </c>
      <c r="H35" s="20" t="s">
        <v>87</v>
      </c>
      <c r="I35" s="66" t="str">
        <f>VLOOKUP(H35,Sheet4!A:B,2,)</f>
        <v>Gunmetal Machine Face</v>
      </c>
      <c r="J35" s="42">
        <f>4-2-2+4-2-2+4-2</f>
        <v>2</v>
      </c>
    </row>
    <row r="36" s="6" customFormat="1" ht="22" customHeight="1" spans="1:10">
      <c r="A36" s="82"/>
      <c r="B36" s="19" t="s">
        <v>1935</v>
      </c>
      <c r="C36" s="19" t="s">
        <v>1934</v>
      </c>
      <c r="D36" s="20" t="s">
        <v>225</v>
      </c>
      <c r="E36" s="20" t="s">
        <v>40</v>
      </c>
      <c r="F36" s="20">
        <v>40</v>
      </c>
      <c r="G36" s="20">
        <v>67.1</v>
      </c>
      <c r="H36" s="20" t="s">
        <v>87</v>
      </c>
      <c r="I36" s="66" t="str">
        <f>VLOOKUP(H36,Sheet4!A:B,2,)</f>
        <v>Gunmetal Machine Face</v>
      </c>
      <c r="J36" s="42">
        <f>4-2-2+4-2-2+4-2</f>
        <v>2</v>
      </c>
    </row>
    <row r="37" s="6" customFormat="1" ht="22" customHeight="1" spans="1:10">
      <c r="A37" s="44"/>
      <c r="B37" s="19" t="s">
        <v>1936</v>
      </c>
      <c r="C37" s="19" t="s">
        <v>1934</v>
      </c>
      <c r="D37" s="20" t="s">
        <v>31</v>
      </c>
      <c r="E37" s="20" t="s">
        <v>40</v>
      </c>
      <c r="F37" s="20">
        <v>35</v>
      </c>
      <c r="G37" s="20">
        <v>67.1</v>
      </c>
      <c r="H37" s="20" t="s">
        <v>87</v>
      </c>
      <c r="I37" s="66" t="str">
        <f>VLOOKUP(H37,Sheet4!A:B,2,)</f>
        <v>Gunmetal Machine Face</v>
      </c>
      <c r="J37" s="42">
        <f>4-2-2+2-2+2+2-2-2</f>
        <v>0</v>
      </c>
    </row>
    <row r="38" s="6" customFormat="1" ht="22" customHeight="1" spans="1:10">
      <c r="A38" s="46"/>
      <c r="B38" s="23" t="s">
        <v>1936</v>
      </c>
      <c r="C38" s="23" t="s">
        <v>1934</v>
      </c>
      <c r="D38" s="24" t="s">
        <v>493</v>
      </c>
      <c r="E38" s="24" t="s">
        <v>40</v>
      </c>
      <c r="F38" s="24">
        <v>42</v>
      </c>
      <c r="G38" s="24">
        <v>67.1</v>
      </c>
      <c r="H38" s="24" t="s">
        <v>87</v>
      </c>
      <c r="I38" s="69" t="str">
        <f>VLOOKUP(H38,Sheet4!A:B,2,)</f>
        <v>Gunmetal Machine Face</v>
      </c>
      <c r="J38" s="43">
        <f>4-2-2+2-2+2+2-2-2</f>
        <v>0</v>
      </c>
    </row>
    <row r="39" ht="30" customHeight="1" spans="1:10">
      <c r="A39" s="115"/>
      <c r="B39" s="19" t="s">
        <v>1937</v>
      </c>
      <c r="C39" s="19" t="s">
        <v>1934</v>
      </c>
      <c r="D39" s="20" t="s">
        <v>19</v>
      </c>
      <c r="E39" s="20" t="s">
        <v>40</v>
      </c>
      <c r="F39" s="20">
        <v>35</v>
      </c>
      <c r="G39" s="20">
        <v>67.1</v>
      </c>
      <c r="H39" s="20" t="s">
        <v>16</v>
      </c>
      <c r="I39" s="20" t="str">
        <f>VLOOKUP(H39,Sheet4!A:B,2,)</f>
        <v>GLOSS BLACK</v>
      </c>
      <c r="J39" s="42">
        <v>0</v>
      </c>
    </row>
    <row r="40" ht="30" customHeight="1" spans="1:10">
      <c r="A40" s="115"/>
      <c r="B40" s="19" t="s">
        <v>1937</v>
      </c>
      <c r="C40" s="19" t="s">
        <v>1934</v>
      </c>
      <c r="D40" s="20" t="s">
        <v>878</v>
      </c>
      <c r="E40" s="20" t="s">
        <v>40</v>
      </c>
      <c r="F40" s="20">
        <v>42</v>
      </c>
      <c r="G40" s="20">
        <v>67.1</v>
      </c>
      <c r="H40" s="20" t="s">
        <v>16</v>
      </c>
      <c r="I40" s="20" t="str">
        <f>VLOOKUP(H40,Sheet4!A:B,2,)</f>
        <v>GLOSS BLACK</v>
      </c>
      <c r="J40" s="42">
        <v>0</v>
      </c>
    </row>
    <row r="41" ht="30" customHeight="1" spans="1:10">
      <c r="A41" s="115"/>
      <c r="B41" s="19" t="s">
        <v>1938</v>
      </c>
      <c r="C41" s="19" t="s">
        <v>1934</v>
      </c>
      <c r="D41" s="20" t="s">
        <v>31</v>
      </c>
      <c r="E41" s="20" t="s">
        <v>40</v>
      </c>
      <c r="F41" s="20">
        <v>35</v>
      </c>
      <c r="G41" s="20">
        <v>67.1</v>
      </c>
      <c r="H41" s="20" t="s">
        <v>16</v>
      </c>
      <c r="I41" s="20" t="str">
        <f>VLOOKUP(H41,Sheet4!A:B,2,)</f>
        <v>GLOSS BLACK</v>
      </c>
      <c r="J41" s="42">
        <f>2-2+2-2+2+2-2-2</f>
        <v>0</v>
      </c>
    </row>
    <row r="42" ht="33" customHeight="1" spans="1:10">
      <c r="A42" s="116"/>
      <c r="B42" s="74" t="s">
        <v>1938</v>
      </c>
      <c r="C42" s="74" t="s">
        <v>1934</v>
      </c>
      <c r="D42" s="75" t="s">
        <v>493</v>
      </c>
      <c r="E42" s="75" t="s">
        <v>40</v>
      </c>
      <c r="F42" s="75">
        <v>42</v>
      </c>
      <c r="G42" s="75">
        <v>67.1</v>
      </c>
      <c r="H42" s="75" t="s">
        <v>16</v>
      </c>
      <c r="I42" s="75" t="str">
        <f>VLOOKUP(H42,Sheet4!A:B,2,)</f>
        <v>GLOSS BLACK</v>
      </c>
      <c r="J42" s="77">
        <f>2-2+2-2+2+2-2-2</f>
        <v>0</v>
      </c>
    </row>
  </sheetData>
  <autoFilter xmlns:etc="http://www.wps.cn/officeDocument/2017/etCustomData" ref="A2:J42" etc:filterBottomFollowUsedRange="0">
    <extLst/>
  </autoFilter>
  <mergeCells count="4">
    <mergeCell ref="A19:A20"/>
    <mergeCell ref="A23:A24"/>
    <mergeCell ref="A27:A28"/>
    <mergeCell ref="A37:A38"/>
  </mergeCells>
  <pageMargins left="0.196527777777778" right="0.0784722222222222" top="0.471527777777778" bottom="0.313888888888889" header="0.511805555555556" footer="0.236111111111111"/>
  <pageSetup paperSize="9" scale="65" orientation="portrait" horizontalDpi="600"/>
  <headerFooter>
    <oddFooter>&amp;C&amp;14&amp;B玛莎拉蒂  第 &amp;P 页，共 &amp;N 页</oddFooter>
  </headerFooter>
  <rowBreaks count="1" manualBreakCount="1">
    <brk id="42" max="16383" man="1"/>
  </rowBreaks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indexed="49"/>
  </sheetPr>
  <dimension ref="A1:J140"/>
  <sheetViews>
    <sheetView workbookViewId="0">
      <pane xSplit="1" ySplit="2" topLeftCell="B26" activePane="bottomRight" state="frozen"/>
      <selection/>
      <selection pane="topRight"/>
      <selection pane="bottomLeft"/>
      <selection pane="bottomRight" activeCell="I40" sqref="I40"/>
    </sheetView>
  </sheetViews>
  <sheetFormatPr defaultColWidth="9" defaultRowHeight="13.5"/>
  <cols>
    <col min="1" max="1" width="22.4916666666667" style="6" customWidth="1"/>
    <col min="2" max="2" width="20.625" style="90" customWidth="1"/>
    <col min="3" max="3" width="24.45" style="89" customWidth="1"/>
    <col min="4" max="4" width="11.75" style="89" customWidth="1"/>
    <col min="5" max="5" width="10.975" style="89" customWidth="1"/>
    <col min="6" max="6" width="7.49166666666667" style="89" customWidth="1"/>
    <col min="7" max="7" width="11.4083333333333" style="89" customWidth="1"/>
    <col min="8" max="8" width="13.0333333333333" style="89" customWidth="1"/>
    <col min="9" max="9" width="15.75" style="102" customWidth="1"/>
    <col min="10" max="10" width="15" style="7" customWidth="1"/>
    <col min="11" max="16384" width="9" style="8"/>
  </cols>
  <sheetData>
    <row r="1" ht="87" customHeight="1"/>
    <row r="2" s="5" customFormat="1" ht="26" customHeight="1" spans="1:10">
      <c r="A2" s="93" t="s">
        <v>0</v>
      </c>
      <c r="B2" s="94" t="s">
        <v>1</v>
      </c>
      <c r="C2" s="94" t="s">
        <v>2</v>
      </c>
      <c r="D2" s="94" t="s">
        <v>3</v>
      </c>
      <c r="E2" s="94" t="s">
        <v>4</v>
      </c>
      <c r="F2" s="94" t="s">
        <v>5</v>
      </c>
      <c r="G2" s="94" t="s">
        <v>6</v>
      </c>
      <c r="H2" s="94" t="s">
        <v>7</v>
      </c>
      <c r="I2" s="94" t="s">
        <v>8</v>
      </c>
      <c r="J2" s="93" t="s">
        <v>9</v>
      </c>
    </row>
    <row r="3" s="6" customFormat="1" ht="117" customHeight="1" spans="1:10">
      <c r="A3" s="22"/>
      <c r="B3" s="23" t="s">
        <v>1939</v>
      </c>
      <c r="C3" s="24" t="s">
        <v>1940</v>
      </c>
      <c r="D3" s="24" t="s">
        <v>29</v>
      </c>
      <c r="E3" s="24" t="s">
        <v>1941</v>
      </c>
      <c r="F3" s="24">
        <v>42</v>
      </c>
      <c r="G3" s="24">
        <v>66.9</v>
      </c>
      <c r="H3" s="24" t="s">
        <v>26</v>
      </c>
      <c r="I3" s="68" t="str">
        <f>VLOOKUP(H3,Sheet4!A:B,2,)</f>
        <v>Gloss Black Polisph Face</v>
      </c>
      <c r="J3" s="43">
        <f>8-4-4+8-4+4-4-4+4-4+8-4-4+8</f>
        <v>8</v>
      </c>
    </row>
    <row r="4" s="6" customFormat="1" ht="56" customHeight="1" spans="1:10">
      <c r="A4" s="18"/>
      <c r="B4" s="19" t="s">
        <v>1942</v>
      </c>
      <c r="C4" s="20" t="s">
        <v>1940</v>
      </c>
      <c r="D4" s="20" t="s">
        <v>29</v>
      </c>
      <c r="E4" s="20" t="s">
        <v>1941</v>
      </c>
      <c r="F4" s="20">
        <v>42</v>
      </c>
      <c r="G4" s="20">
        <v>66.9</v>
      </c>
      <c r="H4" s="19" t="s">
        <v>1943</v>
      </c>
      <c r="I4" s="99" t="str">
        <f>VLOOKUP(H4,Sheet4!A:B,2,)</f>
        <v>GLOSS BLACK</v>
      </c>
      <c r="J4" s="42">
        <f>4-4+12-4-4-4+8-4-4+4-4+8-4-4+12-4-1+1-4</f>
        <v>4</v>
      </c>
    </row>
    <row r="5" s="6" customFormat="1" ht="56" customHeight="1" spans="1:10">
      <c r="A5" s="22"/>
      <c r="B5" s="23" t="s">
        <v>1944</v>
      </c>
      <c r="C5" s="24" t="s">
        <v>1940</v>
      </c>
      <c r="D5" s="24" t="s">
        <v>29</v>
      </c>
      <c r="E5" s="24" t="s">
        <v>1941</v>
      </c>
      <c r="F5" s="24">
        <v>42</v>
      </c>
      <c r="G5" s="24">
        <v>66.9</v>
      </c>
      <c r="H5" s="24" t="s">
        <v>21</v>
      </c>
      <c r="I5" s="68" t="str">
        <f>VLOOKUP(H5,Sheet4!A:B,2,)</f>
        <v>Black Machine Face</v>
      </c>
      <c r="J5" s="43">
        <f>4+12-4-4-4-4+4-4+8-4-4+8-4-4+8+12-4-4-4-4-4+20-4-4-4-4+8-4-4-4+4-4+8-4-4+4-4+12-4-4-4</f>
        <v>0</v>
      </c>
    </row>
    <row r="6" s="6" customFormat="1" ht="105" customHeight="1" spans="1:10">
      <c r="A6" s="34"/>
      <c r="B6" s="100" t="s">
        <v>1945</v>
      </c>
      <c r="C6" s="24" t="s">
        <v>1946</v>
      </c>
      <c r="D6" s="68" t="s">
        <v>34</v>
      </c>
      <c r="E6" s="68" t="s">
        <v>52</v>
      </c>
      <c r="F6" s="68">
        <v>20</v>
      </c>
      <c r="G6" s="68">
        <v>78</v>
      </c>
      <c r="H6" s="68" t="s">
        <v>21</v>
      </c>
      <c r="I6" s="68" t="str">
        <f>VLOOKUP(H6,Sheet4!A:B,2,)</f>
        <v>Black Machine Face</v>
      </c>
      <c r="J6" s="25">
        <f>8-4-4</f>
        <v>0</v>
      </c>
    </row>
    <row r="7" s="6" customFormat="1" ht="113" customHeight="1" spans="1:10">
      <c r="A7" s="34"/>
      <c r="B7" s="100" t="s">
        <v>1947</v>
      </c>
      <c r="C7" s="24" t="s">
        <v>1946</v>
      </c>
      <c r="D7" s="68" t="s">
        <v>34</v>
      </c>
      <c r="E7" s="68" t="s">
        <v>52</v>
      </c>
      <c r="F7" s="68">
        <v>20</v>
      </c>
      <c r="G7" s="68">
        <v>78</v>
      </c>
      <c r="H7" s="68" t="s">
        <v>53</v>
      </c>
      <c r="I7" s="68" t="str">
        <f>VLOOKUP(H7,Sheet4!A:B,2,)</f>
        <v>polish</v>
      </c>
      <c r="J7" s="25">
        <f>1+3-4+8-4+4-4-4+4-4+12-4-4-4+4-4+8-4-4+4+8-4</f>
        <v>8</v>
      </c>
    </row>
    <row r="8" s="6" customFormat="1" ht="20" customHeight="1" spans="1:10">
      <c r="A8" s="33"/>
      <c r="B8" s="19" t="s">
        <v>1948</v>
      </c>
      <c r="C8" s="19" t="s">
        <v>1949</v>
      </c>
      <c r="D8" s="19" t="s">
        <v>12</v>
      </c>
      <c r="E8" s="19" t="s">
        <v>13</v>
      </c>
      <c r="F8" s="19">
        <v>22</v>
      </c>
      <c r="G8" s="19">
        <v>66.9</v>
      </c>
      <c r="H8" s="19" t="s">
        <v>288</v>
      </c>
      <c r="I8" s="99" t="str">
        <f>VLOOKUP(H8,Sheet4!A:B,2,)</f>
        <v>matte bronze</v>
      </c>
      <c r="J8" s="21">
        <f>8+4-4-8+12-4+4-4-4-4+8+12-4-4-4-4-4+4-4+8-4</f>
        <v>4</v>
      </c>
    </row>
    <row r="9" s="6" customFormat="1" ht="20" customHeight="1" spans="1:10">
      <c r="A9" s="33"/>
      <c r="B9" s="19" t="s">
        <v>1950</v>
      </c>
      <c r="C9" s="20" t="s">
        <v>1949</v>
      </c>
      <c r="D9" s="20" t="s">
        <v>12</v>
      </c>
      <c r="E9" s="20" t="s">
        <v>13</v>
      </c>
      <c r="F9" s="20">
        <v>22</v>
      </c>
      <c r="G9" s="20">
        <v>66.9</v>
      </c>
      <c r="H9" s="20" t="s">
        <v>102</v>
      </c>
      <c r="I9" s="65" t="str">
        <f>VLOOKUP(H9,Sheet4!A:B,2,)</f>
        <v>MATTE BLACK</v>
      </c>
      <c r="J9" s="42">
        <f>16-8+4-4-4-4+8-4-4+12-4-4-1+20-4-4-4-4-4+1-4+12+4-4-4-4-4+4-4+8-4+8-4-4-4+4-4+12-4-4+4-4-4+8-4+4-4-4+4</f>
        <v>4</v>
      </c>
    </row>
    <row r="10" s="6" customFormat="1" ht="20" customHeight="1" spans="1:10">
      <c r="A10" s="33"/>
      <c r="B10" s="19" t="s">
        <v>1951</v>
      </c>
      <c r="C10" s="20" t="s">
        <v>1949</v>
      </c>
      <c r="D10" s="20" t="s">
        <v>23</v>
      </c>
      <c r="E10" s="20" t="s">
        <v>13</v>
      </c>
      <c r="F10" s="20">
        <v>22</v>
      </c>
      <c r="G10" s="20">
        <v>66.9</v>
      </c>
      <c r="H10" s="20" t="s">
        <v>102</v>
      </c>
      <c r="I10" s="65" t="str">
        <f>VLOOKUP(H10,Sheet4!A:B,2,)</f>
        <v>MATTE BLACK</v>
      </c>
      <c r="J10" s="42">
        <f>8-4+4-4+4-4-4+8-4-4+8</f>
        <v>8</v>
      </c>
    </row>
    <row r="11" s="6" customFormat="1" ht="20" customHeight="1" spans="1:10">
      <c r="A11" s="33"/>
      <c r="B11" s="19" t="s">
        <v>1952</v>
      </c>
      <c r="C11" s="20" t="s">
        <v>1949</v>
      </c>
      <c r="D11" s="20" t="s">
        <v>23</v>
      </c>
      <c r="E11" s="20" t="s">
        <v>13</v>
      </c>
      <c r="F11" s="20">
        <v>33</v>
      </c>
      <c r="G11" s="20">
        <v>66.9</v>
      </c>
      <c r="H11" s="20" t="s">
        <v>288</v>
      </c>
      <c r="I11" s="65" t="str">
        <f>VLOOKUP(H11,Sheet4!A:B,2,)</f>
        <v>matte bronze</v>
      </c>
      <c r="J11" s="42">
        <f>8+8-4+4-4-4</f>
        <v>8</v>
      </c>
    </row>
    <row r="12" s="6" customFormat="1" ht="20" customHeight="1" spans="1:10">
      <c r="A12" s="33"/>
      <c r="B12" s="19" t="s">
        <v>1953</v>
      </c>
      <c r="C12" s="19" t="s">
        <v>1949</v>
      </c>
      <c r="D12" s="19" t="s">
        <v>29</v>
      </c>
      <c r="E12" s="19" t="s">
        <v>13</v>
      </c>
      <c r="F12" s="19">
        <v>33</v>
      </c>
      <c r="G12" s="19">
        <v>66.9</v>
      </c>
      <c r="H12" s="19" t="s">
        <v>288</v>
      </c>
      <c r="I12" s="99" t="str">
        <f>VLOOKUP(H12,Sheet4!A:B,2,)</f>
        <v>matte bronze</v>
      </c>
      <c r="J12" s="42">
        <f>4-4+8+8-4-4-4-4+4-4</f>
        <v>0</v>
      </c>
    </row>
    <row r="13" s="6" customFormat="1" ht="20" customHeight="1" spans="1:10">
      <c r="A13" s="34"/>
      <c r="B13" s="23" t="s">
        <v>1954</v>
      </c>
      <c r="C13" s="24" t="s">
        <v>1949</v>
      </c>
      <c r="D13" s="24" t="s">
        <v>29</v>
      </c>
      <c r="E13" s="24" t="s">
        <v>13</v>
      </c>
      <c r="F13" s="24">
        <v>33</v>
      </c>
      <c r="G13" s="24">
        <v>66.9</v>
      </c>
      <c r="H13" s="24" t="s">
        <v>102</v>
      </c>
      <c r="I13" s="68" t="str">
        <f>VLOOKUP(H13,Sheet4!A:B,2,)</f>
        <v>MATTE BLACK</v>
      </c>
      <c r="J13" s="43">
        <f>8-4+4-4-4</f>
        <v>0</v>
      </c>
    </row>
    <row r="14" s="6" customFormat="1" ht="22" customHeight="1" spans="1:10">
      <c r="A14" s="52"/>
      <c r="B14" s="53" t="s">
        <v>1955</v>
      </c>
      <c r="C14" s="54" t="s">
        <v>1949</v>
      </c>
      <c r="D14" s="54" t="s">
        <v>58</v>
      </c>
      <c r="E14" s="54" t="s">
        <v>13</v>
      </c>
      <c r="F14" s="54">
        <v>22</v>
      </c>
      <c r="G14" s="54">
        <v>66.9</v>
      </c>
      <c r="H14" s="54" t="s">
        <v>16</v>
      </c>
      <c r="I14" s="103" t="str">
        <f>VLOOKUP(H14,Sheet4!A:B,2,)</f>
        <v>GLOSS BLACK</v>
      </c>
      <c r="J14" s="55">
        <f>8-4-4+8-4-4+4-4+8-4-4+8-4+12-4-4-4-4+8-4-4</f>
        <v>0</v>
      </c>
    </row>
    <row r="15" s="6" customFormat="1" ht="22" customHeight="1" spans="1:10">
      <c r="A15" s="44"/>
      <c r="B15" s="19" t="s">
        <v>1956</v>
      </c>
      <c r="C15" s="20" t="s">
        <v>1949</v>
      </c>
      <c r="D15" s="20" t="s">
        <v>58</v>
      </c>
      <c r="E15" s="20" t="s">
        <v>13</v>
      </c>
      <c r="F15" s="20">
        <v>30</v>
      </c>
      <c r="G15" s="20">
        <v>66.9</v>
      </c>
      <c r="H15" s="20" t="s">
        <v>21</v>
      </c>
      <c r="I15" s="65" t="str">
        <f>VLOOKUP(H15,Sheet4!A:B,2,)</f>
        <v>Black Machine Face</v>
      </c>
      <c r="J15" s="42">
        <f>8+8-4-4+12-4+4-1-4-4-4-4-3+8-4-4+7+1-4-4+8</f>
        <v>8</v>
      </c>
    </row>
    <row r="16" s="6" customFormat="1" ht="22" customHeight="1" spans="1:10">
      <c r="A16" s="18"/>
      <c r="B16" s="19" t="s">
        <v>1957</v>
      </c>
      <c r="C16" s="20" t="s">
        <v>1949</v>
      </c>
      <c r="D16" s="20" t="s">
        <v>58</v>
      </c>
      <c r="E16" s="20" t="s">
        <v>13</v>
      </c>
      <c r="F16" s="20">
        <v>22</v>
      </c>
      <c r="G16" s="20">
        <v>66.9</v>
      </c>
      <c r="H16" s="20" t="s">
        <v>1449</v>
      </c>
      <c r="I16" s="65" t="str">
        <f>VLOOKUP(H16,Sheet4!A:B,2,)</f>
        <v>MATTE GREY</v>
      </c>
      <c r="J16" s="42">
        <f>8-4-4+4-4+4-4+4-4</f>
        <v>0</v>
      </c>
    </row>
    <row r="17" s="6" customFormat="1" ht="22" customHeight="1" spans="1:10">
      <c r="A17" s="44"/>
      <c r="B17" s="19" t="s">
        <v>1958</v>
      </c>
      <c r="C17" s="19" t="s">
        <v>1949</v>
      </c>
      <c r="D17" s="19" t="s">
        <v>23</v>
      </c>
      <c r="E17" s="19" t="s">
        <v>13</v>
      </c>
      <c r="F17" s="19">
        <v>33</v>
      </c>
      <c r="G17" s="19">
        <v>66.9</v>
      </c>
      <c r="H17" s="19" t="s">
        <v>16</v>
      </c>
      <c r="I17" s="99" t="str">
        <f>VLOOKUP(H17,Sheet4!A:B,2,)</f>
        <v>GLOSS BLACK</v>
      </c>
      <c r="J17" s="21">
        <f>4+8-4</f>
        <v>8</v>
      </c>
    </row>
    <row r="18" s="6" customFormat="1" ht="22" customHeight="1" spans="1:10">
      <c r="A18" s="18"/>
      <c r="B18" s="19" t="s">
        <v>1959</v>
      </c>
      <c r="C18" s="20" t="s">
        <v>1949</v>
      </c>
      <c r="D18" s="20" t="s">
        <v>23</v>
      </c>
      <c r="E18" s="20" t="s">
        <v>13</v>
      </c>
      <c r="F18" s="20">
        <v>22</v>
      </c>
      <c r="G18" s="20">
        <v>66.9</v>
      </c>
      <c r="H18" s="20" t="s">
        <v>21</v>
      </c>
      <c r="I18" s="65" t="str">
        <f>VLOOKUP(H18,Sheet4!A:B,2,)</f>
        <v>Black Machine Face</v>
      </c>
      <c r="J18" s="42">
        <f>8-4-4+4+8-4-4-4+8</f>
        <v>8</v>
      </c>
    </row>
    <row r="19" s="6" customFormat="1" ht="22" customHeight="1" spans="1:10">
      <c r="A19" s="18"/>
      <c r="B19" s="19" t="s">
        <v>1960</v>
      </c>
      <c r="C19" s="20" t="s">
        <v>1949</v>
      </c>
      <c r="D19" s="20" t="s">
        <v>23</v>
      </c>
      <c r="E19" s="20" t="s">
        <v>13</v>
      </c>
      <c r="F19" s="20">
        <v>22</v>
      </c>
      <c r="G19" s="20">
        <v>66.9</v>
      </c>
      <c r="H19" s="20" t="s">
        <v>1449</v>
      </c>
      <c r="I19" s="65" t="str">
        <f>VLOOKUP(H19,Sheet4!A:B,2,)</f>
        <v>MATTE GREY</v>
      </c>
      <c r="J19" s="42">
        <f>8-4-4+4+8-4-4-4+4+4+4</f>
        <v>12</v>
      </c>
    </row>
    <row r="20" s="6" customFormat="1" ht="59" customHeight="1" spans="1:10">
      <c r="A20" s="56"/>
      <c r="B20" s="53" t="s">
        <v>1961</v>
      </c>
      <c r="C20" s="54" t="s">
        <v>1949</v>
      </c>
      <c r="D20" s="54" t="s">
        <v>58</v>
      </c>
      <c r="E20" s="54" t="s">
        <v>13</v>
      </c>
      <c r="F20" s="54">
        <v>30</v>
      </c>
      <c r="G20" s="54">
        <v>66.9</v>
      </c>
      <c r="H20" s="54" t="s">
        <v>26</v>
      </c>
      <c r="I20" s="103" t="str">
        <f>VLOOKUP(H20,Sheet4!A:B,2,)</f>
        <v>Gloss Black Polisph Face</v>
      </c>
      <c r="J20" s="55">
        <f>12</f>
        <v>12</v>
      </c>
    </row>
    <row r="21" s="6" customFormat="1" ht="59" customHeight="1" spans="1:10">
      <c r="A21" s="22"/>
      <c r="B21" s="23" t="s">
        <v>1962</v>
      </c>
      <c r="C21" s="24" t="s">
        <v>1949</v>
      </c>
      <c r="D21" s="24" t="s">
        <v>23</v>
      </c>
      <c r="E21" s="24" t="s">
        <v>13</v>
      </c>
      <c r="F21" s="24">
        <v>22</v>
      </c>
      <c r="G21" s="24">
        <v>66.9</v>
      </c>
      <c r="H21" s="24" t="s">
        <v>26</v>
      </c>
      <c r="I21" s="68" t="str">
        <f>VLOOKUP(H21,Sheet4!A:B,2,)</f>
        <v>Gloss Black Polisph Face</v>
      </c>
      <c r="J21" s="43">
        <f>4-4+4-4+8-4-4+8-4+4-4+4+8-4+4-4-4-4+4-4</f>
        <v>4</v>
      </c>
    </row>
    <row r="22" s="6" customFormat="1" ht="56" customHeight="1" spans="1:10">
      <c r="A22" s="18"/>
      <c r="B22" s="19" t="s">
        <v>1963</v>
      </c>
      <c r="C22" s="20" t="s">
        <v>1949</v>
      </c>
      <c r="D22" s="20" t="s">
        <v>58</v>
      </c>
      <c r="E22" s="20" t="s">
        <v>13</v>
      </c>
      <c r="F22" s="20">
        <v>30</v>
      </c>
      <c r="G22" s="20">
        <v>66.9</v>
      </c>
      <c r="H22" s="20" t="s">
        <v>288</v>
      </c>
      <c r="I22" s="65" t="str">
        <f>VLOOKUP(H22,Sheet4!A:B,2,)</f>
        <v>matte bronze</v>
      </c>
      <c r="J22" s="42">
        <f>12-4</f>
        <v>8</v>
      </c>
    </row>
    <row r="23" s="6" customFormat="1" ht="56" customHeight="1" spans="1:10">
      <c r="A23" s="22"/>
      <c r="B23" s="23" t="s">
        <v>1964</v>
      </c>
      <c r="C23" s="24" t="s">
        <v>1949</v>
      </c>
      <c r="D23" s="24" t="s">
        <v>58</v>
      </c>
      <c r="E23" s="24" t="s">
        <v>13</v>
      </c>
      <c r="F23" s="24">
        <v>30</v>
      </c>
      <c r="G23" s="24">
        <v>66.9</v>
      </c>
      <c r="H23" s="24" t="s">
        <v>26</v>
      </c>
      <c r="I23" s="68" t="str">
        <f>VLOOKUP(H23,Sheet4!A:B,2,)</f>
        <v>Gloss Black Polisph Face</v>
      </c>
      <c r="J23" s="43">
        <f>12-4+4-4-4-4</f>
        <v>0</v>
      </c>
    </row>
    <row r="24" s="6" customFormat="1" ht="49" customHeight="1" spans="1:10">
      <c r="A24" s="18"/>
      <c r="B24" s="19" t="s">
        <v>1965</v>
      </c>
      <c r="C24" s="20" t="s">
        <v>1966</v>
      </c>
      <c r="D24" s="20" t="s">
        <v>12</v>
      </c>
      <c r="E24" s="20" t="s">
        <v>251</v>
      </c>
      <c r="F24" s="20">
        <v>30</v>
      </c>
      <c r="G24" s="20">
        <v>70.3</v>
      </c>
      <c r="H24" s="20" t="s">
        <v>1449</v>
      </c>
      <c r="I24" s="65" t="str">
        <f>VLOOKUP(H24,Sheet4!A:B,2,)</f>
        <v>MATTE GREY</v>
      </c>
      <c r="J24" s="42">
        <v>0</v>
      </c>
    </row>
    <row r="25" s="6" customFormat="1" ht="49" customHeight="1" spans="1:10">
      <c r="A25" s="18"/>
      <c r="B25" s="19" t="s">
        <v>1967</v>
      </c>
      <c r="C25" s="20" t="s">
        <v>1966</v>
      </c>
      <c r="D25" s="20" t="s">
        <v>814</v>
      </c>
      <c r="E25" s="20" t="s">
        <v>251</v>
      </c>
      <c r="F25" s="20">
        <v>35</v>
      </c>
      <c r="G25" s="20">
        <v>70.3</v>
      </c>
      <c r="H25" s="20" t="s">
        <v>1449</v>
      </c>
      <c r="I25" s="65" t="str">
        <f>VLOOKUP(H25,Sheet4!A:B,2,)</f>
        <v>MATTE GREY</v>
      </c>
      <c r="J25" s="42">
        <v>0</v>
      </c>
    </row>
    <row r="26" s="6" customFormat="1" ht="49" customHeight="1" spans="1:10">
      <c r="A26" s="18"/>
      <c r="B26" s="19" t="s">
        <v>1968</v>
      </c>
      <c r="C26" s="20" t="s">
        <v>1966</v>
      </c>
      <c r="D26" s="20" t="s">
        <v>12</v>
      </c>
      <c r="E26" s="20" t="s">
        <v>251</v>
      </c>
      <c r="F26" s="20">
        <v>30</v>
      </c>
      <c r="G26" s="20">
        <v>70.3</v>
      </c>
      <c r="H26" s="20" t="s">
        <v>16</v>
      </c>
      <c r="I26" s="65" t="str">
        <f>VLOOKUP(H26,Sheet4!A:B,2,)</f>
        <v>GLOSS BLACK</v>
      </c>
      <c r="J26" s="42">
        <f>2-2+2-2+4-2-2+2-2</f>
        <v>0</v>
      </c>
    </row>
    <row r="27" s="6" customFormat="1" ht="49" customHeight="1" spans="1:10">
      <c r="A27" s="22"/>
      <c r="B27" s="23" t="s">
        <v>1968</v>
      </c>
      <c r="C27" s="24" t="s">
        <v>1966</v>
      </c>
      <c r="D27" s="24" t="s">
        <v>814</v>
      </c>
      <c r="E27" s="24" t="s">
        <v>251</v>
      </c>
      <c r="F27" s="24">
        <v>35</v>
      </c>
      <c r="G27" s="24">
        <v>70.3</v>
      </c>
      <c r="H27" s="24" t="s">
        <v>16</v>
      </c>
      <c r="I27" s="68" t="str">
        <f>VLOOKUP(H27,Sheet4!A:B,2,)</f>
        <v>GLOSS BLACK</v>
      </c>
      <c r="J27" s="43">
        <f>2-2+2-2+4-2-2+2-2</f>
        <v>0</v>
      </c>
    </row>
    <row r="28" s="6" customFormat="1" ht="27" customHeight="1" spans="1:10">
      <c r="A28" s="104"/>
      <c r="B28" s="99" t="s">
        <v>1969</v>
      </c>
      <c r="C28" s="20" t="s">
        <v>1970</v>
      </c>
      <c r="D28" s="65" t="s">
        <v>12</v>
      </c>
      <c r="E28" s="65" t="s">
        <v>251</v>
      </c>
      <c r="F28" s="65">
        <v>30</v>
      </c>
      <c r="G28" s="65">
        <v>70.3</v>
      </c>
      <c r="H28" s="65" t="s">
        <v>87</v>
      </c>
      <c r="I28" s="65" t="str">
        <f>VLOOKUP(H28,Sheet4!A:B,2,)</f>
        <v>Gunmetal Machine Face</v>
      </c>
      <c r="J28" s="21">
        <f>2+2+2</f>
        <v>6</v>
      </c>
    </row>
    <row r="29" s="6" customFormat="1" ht="27" customHeight="1" spans="1:10">
      <c r="A29" s="104"/>
      <c r="B29" s="99" t="s">
        <v>1969</v>
      </c>
      <c r="C29" s="20" t="s">
        <v>1970</v>
      </c>
      <c r="D29" s="65" t="s">
        <v>814</v>
      </c>
      <c r="E29" s="65" t="s">
        <v>251</v>
      </c>
      <c r="F29" s="65">
        <v>35</v>
      </c>
      <c r="G29" s="65">
        <v>70.3</v>
      </c>
      <c r="H29" s="65" t="s">
        <v>87</v>
      </c>
      <c r="I29" s="65" t="str">
        <f>VLOOKUP(H29,Sheet4!A:B,2,)</f>
        <v>Gunmetal Machine Face</v>
      </c>
      <c r="J29" s="21">
        <f>2+2+2-2</f>
        <v>4</v>
      </c>
    </row>
    <row r="30" s="6" customFormat="1" ht="27" customHeight="1" spans="1:10">
      <c r="A30" s="104"/>
      <c r="B30" s="99" t="s">
        <v>1971</v>
      </c>
      <c r="C30" s="20" t="s">
        <v>1970</v>
      </c>
      <c r="D30" s="65" t="s">
        <v>12</v>
      </c>
      <c r="E30" s="65" t="s">
        <v>251</v>
      </c>
      <c r="F30" s="65">
        <v>30</v>
      </c>
      <c r="G30" s="65">
        <v>70.3</v>
      </c>
      <c r="H30" s="65" t="s">
        <v>16</v>
      </c>
      <c r="I30" s="65" t="str">
        <f>VLOOKUP(H30,Sheet4!A:B,2,)</f>
        <v>GLOSS BLACK</v>
      </c>
      <c r="J30" s="21">
        <f>4+2</f>
        <v>6</v>
      </c>
    </row>
    <row r="31" s="6" customFormat="1" ht="27" customHeight="1" spans="1:10">
      <c r="A31" s="104"/>
      <c r="B31" s="99" t="s">
        <v>1971</v>
      </c>
      <c r="C31" s="20" t="s">
        <v>1970</v>
      </c>
      <c r="D31" s="65" t="s">
        <v>814</v>
      </c>
      <c r="E31" s="65" t="s">
        <v>251</v>
      </c>
      <c r="F31" s="65">
        <v>35</v>
      </c>
      <c r="G31" s="65">
        <v>70.3</v>
      </c>
      <c r="H31" s="65" t="s">
        <v>16</v>
      </c>
      <c r="I31" s="65" t="str">
        <f>VLOOKUP(H31,Sheet4!A:B,2,)</f>
        <v>GLOSS BLACK</v>
      </c>
      <c r="J31" s="21">
        <f>4+2</f>
        <v>6</v>
      </c>
    </row>
    <row r="32" s="6" customFormat="1" ht="54" customHeight="1" spans="1:10">
      <c r="A32" s="52"/>
      <c r="B32" s="53" t="s">
        <v>1972</v>
      </c>
      <c r="C32" s="54" t="s">
        <v>1966</v>
      </c>
      <c r="D32" s="54" t="s">
        <v>12</v>
      </c>
      <c r="E32" s="54" t="s">
        <v>251</v>
      </c>
      <c r="F32" s="54">
        <v>30</v>
      </c>
      <c r="G32" s="54">
        <v>70.3</v>
      </c>
      <c r="H32" s="54" t="s">
        <v>16</v>
      </c>
      <c r="I32" s="103" t="str">
        <f>VLOOKUP(H32,Sheet4!A:B,2,)</f>
        <v>GLOSS BLACK</v>
      </c>
      <c r="J32" s="55">
        <f>2-2+4-2-2+2-2+2-2</f>
        <v>0</v>
      </c>
    </row>
    <row r="33" s="6" customFormat="1" ht="54" customHeight="1" spans="1:10">
      <c r="A33" s="73"/>
      <c r="B33" s="74" t="s">
        <v>1973</v>
      </c>
      <c r="C33" s="75" t="s">
        <v>1966</v>
      </c>
      <c r="D33" s="75" t="s">
        <v>814</v>
      </c>
      <c r="E33" s="75" t="s">
        <v>251</v>
      </c>
      <c r="F33" s="75">
        <v>35</v>
      </c>
      <c r="G33" s="75">
        <v>70.3</v>
      </c>
      <c r="H33" s="75" t="s">
        <v>16</v>
      </c>
      <c r="I33" s="105" t="str">
        <f>VLOOKUP(H33,Sheet4!A:B,2,)</f>
        <v>GLOSS BLACK</v>
      </c>
      <c r="J33" s="77">
        <f>2-2+4-2-2+2-2+2-2</f>
        <v>0</v>
      </c>
    </row>
    <row r="34" spans="1:10">
      <c r="A34" s="58"/>
    </row>
    <row r="35" spans="1:10">
      <c r="A35" s="58"/>
    </row>
    <row r="36" spans="1:10">
      <c r="A36" s="58"/>
    </row>
    <row r="37" spans="1:10">
      <c r="A37" s="58"/>
    </row>
    <row r="38" spans="1:10">
      <c r="A38" s="58"/>
    </row>
    <row r="39" spans="1:10">
      <c r="A39" s="58"/>
    </row>
    <row r="40" spans="1:10">
      <c r="A40" s="58"/>
    </row>
    <row r="41" spans="1:10">
      <c r="A41" s="58"/>
    </row>
    <row r="42" spans="1:10">
      <c r="A42" s="58"/>
    </row>
    <row r="43" spans="1:10">
      <c r="A43" s="58"/>
    </row>
    <row r="44" spans="1:10">
      <c r="A44" s="58"/>
    </row>
    <row r="45" spans="1:10">
      <c r="A45" s="58"/>
    </row>
    <row r="46" spans="1:10">
      <c r="A46" s="58"/>
    </row>
    <row r="47" spans="1:10">
      <c r="A47" s="58"/>
    </row>
    <row r="48" spans="1:10">
      <c r="A48" s="58"/>
    </row>
    <row r="49" spans="1:1">
      <c r="A49" s="58"/>
    </row>
    <row r="50" spans="1:1">
      <c r="A50" s="58"/>
    </row>
    <row r="51" spans="1:1">
      <c r="A51" s="58"/>
    </row>
    <row r="52" spans="1:1">
      <c r="A52" s="58"/>
    </row>
    <row r="53" spans="1:1">
      <c r="A53" s="58"/>
    </row>
    <row r="54" spans="1:1">
      <c r="A54" s="58"/>
    </row>
    <row r="55" spans="1:1">
      <c r="A55" s="58"/>
    </row>
    <row r="56" spans="1:1">
      <c r="A56" s="58"/>
    </row>
    <row r="57" spans="1:1">
      <c r="A57" s="58"/>
    </row>
    <row r="58" spans="1:1">
      <c r="A58" s="58"/>
    </row>
    <row r="59" spans="1:1">
      <c r="A59" s="58"/>
    </row>
    <row r="60" spans="1:1">
      <c r="A60" s="58"/>
    </row>
    <row r="61" spans="1:1">
      <c r="A61" s="58"/>
    </row>
    <row r="62" spans="1:1">
      <c r="A62" s="58"/>
    </row>
    <row r="63" spans="1:1">
      <c r="A63" s="58"/>
    </row>
    <row r="64" spans="1:1">
      <c r="A64" s="58"/>
    </row>
    <row r="65" spans="1:1">
      <c r="A65" s="58"/>
    </row>
    <row r="66" spans="1:1">
      <c r="A66" s="58"/>
    </row>
    <row r="67" spans="1:1">
      <c r="A67" s="58"/>
    </row>
    <row r="68" spans="1:1">
      <c r="A68" s="58"/>
    </row>
    <row r="69" spans="1:1">
      <c r="A69" s="58"/>
    </row>
    <row r="70" spans="1:1">
      <c r="A70" s="58"/>
    </row>
    <row r="71" spans="1:1">
      <c r="A71" s="58"/>
    </row>
    <row r="72" spans="1:1">
      <c r="A72" s="58"/>
    </row>
    <row r="73" spans="1:1">
      <c r="A73" s="58"/>
    </row>
    <row r="74" spans="1:1">
      <c r="A74" s="58"/>
    </row>
    <row r="75" spans="1:1">
      <c r="A75" s="58"/>
    </row>
    <row r="76" spans="1:1">
      <c r="A76" s="58"/>
    </row>
    <row r="77" spans="1:1">
      <c r="A77" s="58"/>
    </row>
    <row r="78" spans="1:1">
      <c r="A78" s="58"/>
    </row>
    <row r="79" spans="1:1">
      <c r="A79" s="58"/>
    </row>
    <row r="80" spans="1:1">
      <c r="A80" s="58"/>
    </row>
    <row r="81" spans="1:1">
      <c r="A81" s="58"/>
    </row>
    <row r="82" spans="1:1">
      <c r="A82" s="58"/>
    </row>
    <row r="83" spans="1:1">
      <c r="A83" s="58"/>
    </row>
    <row r="84" spans="1:1">
      <c r="A84" s="58"/>
    </row>
    <row r="85" spans="1:1">
      <c r="A85" s="58"/>
    </row>
    <row r="86" spans="1:1">
      <c r="A86" s="58"/>
    </row>
    <row r="87" spans="1:1">
      <c r="A87" s="58"/>
    </row>
    <row r="88" spans="1:1">
      <c r="A88" s="58"/>
    </row>
    <row r="89" spans="1:1">
      <c r="A89" s="58"/>
    </row>
    <row r="90" spans="1:1">
      <c r="A90" s="58"/>
    </row>
    <row r="91" spans="1:1">
      <c r="A91" s="58"/>
    </row>
    <row r="92" spans="1:1">
      <c r="A92" s="58"/>
    </row>
    <row r="93" spans="1:1">
      <c r="A93" s="58"/>
    </row>
    <row r="94" spans="1:1">
      <c r="A94" s="58"/>
    </row>
    <row r="95" spans="1:1">
      <c r="A95" s="58"/>
    </row>
    <row r="96" spans="1:1">
      <c r="A96" s="58"/>
    </row>
    <row r="97" spans="1:1">
      <c r="A97" s="58"/>
    </row>
    <row r="98" spans="1:1">
      <c r="A98" s="58"/>
    </row>
    <row r="99" spans="1:1">
      <c r="A99" s="58"/>
    </row>
    <row r="100" spans="1:1">
      <c r="A100" s="58"/>
    </row>
    <row r="101" spans="1:1">
      <c r="A101" s="58"/>
    </row>
    <row r="102" spans="1:1">
      <c r="A102" s="58"/>
    </row>
    <row r="103" spans="1:1">
      <c r="A103" s="58"/>
    </row>
    <row r="104" spans="1:1">
      <c r="A104" s="58"/>
    </row>
    <row r="105" spans="1:1">
      <c r="A105" s="58"/>
    </row>
    <row r="106" spans="1:1">
      <c r="A106" s="58"/>
    </row>
    <row r="107" spans="1:1">
      <c r="A107" s="58"/>
    </row>
    <row r="108" spans="1:1">
      <c r="A108" s="58"/>
    </row>
    <row r="109" spans="1:1">
      <c r="A109" s="58"/>
    </row>
    <row r="110" spans="1:1">
      <c r="A110" s="58"/>
    </row>
    <row r="111" spans="1:1">
      <c r="A111" s="58"/>
    </row>
    <row r="112" spans="1:1">
      <c r="A112" s="58"/>
    </row>
    <row r="113" spans="1:1">
      <c r="A113" s="58"/>
    </row>
    <row r="114" spans="1:1">
      <c r="A114" s="58"/>
    </row>
    <row r="115" spans="1:1">
      <c r="A115" s="58"/>
    </row>
    <row r="116" spans="1:1">
      <c r="A116" s="58"/>
    </row>
    <row r="117" spans="1:1">
      <c r="A117" s="58"/>
    </row>
    <row r="118" spans="1:1">
      <c r="A118" s="58"/>
    </row>
    <row r="119" spans="1:1">
      <c r="A119" s="58"/>
    </row>
    <row r="120" spans="1:1">
      <c r="A120" s="58"/>
    </row>
    <row r="121" spans="1:1">
      <c r="A121" s="58"/>
    </row>
    <row r="122" spans="1:1">
      <c r="A122" s="58"/>
    </row>
    <row r="123" spans="1:1">
      <c r="A123" s="58"/>
    </row>
    <row r="124" spans="1:1">
      <c r="A124" s="58"/>
    </row>
    <row r="125" spans="1:1">
      <c r="A125" s="58"/>
    </row>
    <row r="126" spans="1:1">
      <c r="A126" s="58"/>
    </row>
    <row r="127" spans="1:1">
      <c r="A127" s="58"/>
    </row>
    <row r="128" spans="1:1">
      <c r="A128" s="58"/>
    </row>
    <row r="129" spans="1:10">
      <c r="A129" s="58"/>
    </row>
    <row r="130" spans="1:10">
      <c r="A130" s="58"/>
    </row>
    <row r="131" spans="1:10">
      <c r="A131" s="58"/>
    </row>
    <row r="132" spans="1:10">
      <c r="A132" s="58"/>
    </row>
    <row r="133" spans="1:10">
      <c r="A133" s="58"/>
    </row>
    <row r="134" spans="1:10">
      <c r="A134" s="58"/>
    </row>
    <row r="135" spans="1:10">
      <c r="A135" s="58"/>
    </row>
    <row r="136" spans="1:10">
      <c r="A136" s="58"/>
    </row>
    <row r="137" spans="1:10">
      <c r="A137" s="58"/>
    </row>
    <row r="138" spans="1:10">
      <c r="A138" s="58"/>
    </row>
    <row r="139" spans="1:10">
      <c r="A139" s="58"/>
    </row>
    <row r="140" spans="1:10">
      <c r="A140" s="59"/>
      <c r="B140" s="60"/>
      <c r="C140" s="61"/>
      <c r="D140" s="61"/>
      <c r="E140" s="61"/>
      <c r="F140" s="61"/>
      <c r="G140" s="61"/>
      <c r="H140" s="61"/>
      <c r="I140" s="106"/>
      <c r="J140" s="80"/>
    </row>
  </sheetData>
  <autoFilter xmlns:etc="http://www.wps.cn/officeDocument/2017/etCustomData" ref="A2:J33" etc:filterBottomFollowUsedRange="0">
    <extLst/>
  </autoFilter>
  <mergeCells count="1">
    <mergeCell ref="A28:A31"/>
  </mergeCells>
  <pageMargins left="0.275" right="0.15625" top="0.235416666666667" bottom="0.15625" header="0.511805555555556" footer="0.118055555555556"/>
  <pageSetup paperSize="9" scale="58" orientation="portrait" horizontalDpi="600"/>
  <headerFooter>
    <oddFooter>&amp;C&amp;14&amp;B凯迪拉克 第 &amp;P 页，共 &amp;N 页</oddFooter>
  </headerFooter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indexed="29"/>
  </sheetPr>
  <dimension ref="A1:J132"/>
  <sheetViews>
    <sheetView workbookViewId="0">
      <pane xSplit="1" ySplit="2" topLeftCell="B3" activePane="bottomRight" state="frozen"/>
      <selection/>
      <selection pane="topRight"/>
      <selection pane="bottomLeft"/>
      <selection pane="bottomRight" activeCell="J15" sqref="J15"/>
    </sheetView>
  </sheetViews>
  <sheetFormatPr defaultColWidth="9" defaultRowHeight="13.5"/>
  <cols>
    <col min="1" max="1" width="25.25" style="6" customWidth="1"/>
    <col min="2" max="2" width="19.125" style="90" customWidth="1"/>
    <col min="3" max="3" width="15.625" style="91" customWidth="1"/>
    <col min="4" max="4" width="10.75" style="91" customWidth="1"/>
    <col min="5" max="5" width="11.6333333333333" style="91" customWidth="1"/>
    <col min="6" max="6" width="10.1083333333333" style="91" customWidth="1"/>
    <col min="7" max="7" width="11.7333333333333" style="91" customWidth="1"/>
    <col min="8" max="8" width="14.5583333333333" style="91" customWidth="1"/>
    <col min="9" max="9" width="21.875" style="91" customWidth="1"/>
    <col min="10" max="10" width="13.3583333333333" style="92" customWidth="1"/>
    <col min="11" max="16384" width="9" style="8"/>
  </cols>
  <sheetData>
    <row r="1" ht="84" customHeight="1"/>
    <row r="2" s="5" customFormat="1" ht="26" customHeight="1" spans="1:10">
      <c r="A2" s="93" t="s">
        <v>0</v>
      </c>
      <c r="B2" s="94" t="s">
        <v>1</v>
      </c>
      <c r="C2" s="94" t="s">
        <v>2</v>
      </c>
      <c r="D2" s="94" t="s">
        <v>3</v>
      </c>
      <c r="E2" s="94" t="s">
        <v>4</v>
      </c>
      <c r="F2" s="94" t="s">
        <v>5</v>
      </c>
      <c r="G2" s="94" t="s">
        <v>6</v>
      </c>
      <c r="H2" s="94" t="s">
        <v>7</v>
      </c>
      <c r="I2" s="94" t="s">
        <v>8</v>
      </c>
      <c r="J2" s="93" t="s">
        <v>9</v>
      </c>
    </row>
    <row r="3" s="6" customFormat="1" ht="37" customHeight="1" spans="1:10">
      <c r="A3" s="33"/>
      <c r="B3" s="19" t="s">
        <v>1974</v>
      </c>
      <c r="C3" s="20" t="s">
        <v>1975</v>
      </c>
      <c r="D3" s="20" t="s">
        <v>44</v>
      </c>
      <c r="E3" s="20" t="s">
        <v>20</v>
      </c>
      <c r="F3" s="20">
        <v>40</v>
      </c>
      <c r="G3" s="20">
        <v>63.4</v>
      </c>
      <c r="H3" s="20" t="s">
        <v>826</v>
      </c>
      <c r="I3" s="95" t="str">
        <f>VLOOKUP(H3,Sheet4!A:B,2,)</f>
        <v>Gunmetal Machine Face</v>
      </c>
      <c r="J3" s="42">
        <v>1</v>
      </c>
    </row>
    <row r="4" s="6" customFormat="1" ht="37" customHeight="1" spans="1:10">
      <c r="A4" s="33"/>
      <c r="B4" s="19" t="s">
        <v>1976</v>
      </c>
      <c r="C4" s="20" t="s">
        <v>1975</v>
      </c>
      <c r="D4" s="20" t="s">
        <v>12</v>
      </c>
      <c r="E4" s="20" t="s">
        <v>20</v>
      </c>
      <c r="F4" s="20">
        <v>38</v>
      </c>
      <c r="G4" s="20">
        <v>63.4</v>
      </c>
      <c r="H4" s="20" t="s">
        <v>87</v>
      </c>
      <c r="I4" s="95" t="str">
        <f>VLOOKUP(H4,Sheet4!A:B,2,)</f>
        <v>Gunmetal Machine Face</v>
      </c>
      <c r="J4" s="42">
        <f>4-4+4+4</f>
        <v>8</v>
      </c>
    </row>
    <row r="5" s="6" customFormat="1" ht="37" customHeight="1" spans="1:10">
      <c r="A5" s="33"/>
      <c r="B5" s="19" t="s">
        <v>1977</v>
      </c>
      <c r="C5" s="20" t="s">
        <v>1975</v>
      </c>
      <c r="D5" s="20" t="s">
        <v>44</v>
      </c>
      <c r="E5" s="20" t="s">
        <v>20</v>
      </c>
      <c r="F5" s="20">
        <v>38</v>
      </c>
      <c r="G5" s="20">
        <v>63.4</v>
      </c>
      <c r="H5" s="20" t="s">
        <v>87</v>
      </c>
      <c r="I5" s="95" t="str">
        <f>VLOOKUP(H5,Sheet4!A:B,2,)</f>
        <v>Gunmetal Machine Face</v>
      </c>
      <c r="J5" s="42">
        <f>4-2-2+2-1-1+4-2-2+4-2-2+2+4-2-2-2+4</f>
        <v>4</v>
      </c>
    </row>
    <row r="6" s="6" customFormat="1" ht="37" customHeight="1" spans="1:10">
      <c r="A6" s="82"/>
      <c r="B6" s="19" t="s">
        <v>1977</v>
      </c>
      <c r="C6" s="20" t="s">
        <v>1975</v>
      </c>
      <c r="D6" s="20" t="s">
        <v>489</v>
      </c>
      <c r="E6" s="20" t="s">
        <v>20</v>
      </c>
      <c r="F6" s="20">
        <v>45</v>
      </c>
      <c r="G6" s="20">
        <v>63.4</v>
      </c>
      <c r="H6" s="20" t="s">
        <v>87</v>
      </c>
      <c r="I6" s="95" t="str">
        <f>VLOOKUP(H6,Sheet4!A:B,2,)</f>
        <v>Gunmetal Machine Face</v>
      </c>
      <c r="J6" s="42">
        <f>4-2-2+2-2+4-2-2+4-2-2+2+4-2-2-2+4</f>
        <v>4</v>
      </c>
    </row>
    <row r="7" s="6" customFormat="1" ht="25" customHeight="1" spans="1:10">
      <c r="A7" s="52"/>
      <c r="B7" s="53" t="s">
        <v>1978</v>
      </c>
      <c r="C7" s="53" t="s">
        <v>1979</v>
      </c>
      <c r="D7" s="53" t="s">
        <v>12</v>
      </c>
      <c r="E7" s="53" t="s">
        <v>20</v>
      </c>
      <c r="F7" s="53">
        <v>38</v>
      </c>
      <c r="G7" s="53">
        <v>63.4</v>
      </c>
      <c r="H7" s="53" t="s">
        <v>87</v>
      </c>
      <c r="I7" s="96" t="str">
        <f>VLOOKUP(H7,Sheet4!A:B,2,)</f>
        <v>Gunmetal Machine Face</v>
      </c>
      <c r="J7" s="97">
        <f>4-4+4-4+8-4</f>
        <v>4</v>
      </c>
    </row>
    <row r="8" s="6" customFormat="1" ht="25" customHeight="1" spans="1:10">
      <c r="A8" s="44"/>
      <c r="B8" s="19" t="s">
        <v>1980</v>
      </c>
      <c r="C8" s="20" t="s">
        <v>1979</v>
      </c>
      <c r="D8" s="20" t="s">
        <v>23</v>
      </c>
      <c r="E8" s="20" t="s">
        <v>20</v>
      </c>
      <c r="F8" s="20">
        <v>35</v>
      </c>
      <c r="G8" s="20">
        <v>63.4</v>
      </c>
      <c r="H8" s="20" t="s">
        <v>87</v>
      </c>
      <c r="I8" s="95" t="str">
        <f>VLOOKUP(H8,Sheet4!A:B,2,)</f>
        <v>Gunmetal Machine Face</v>
      </c>
      <c r="J8" s="42">
        <f>2-2+2-2+2-2+2-2+2-2+2-2+4-2-2+2-2+2-2+2+4-4+2-2-2+2+6</f>
        <v>8</v>
      </c>
    </row>
    <row r="9" s="6" customFormat="1" ht="25" customHeight="1" spans="1:10">
      <c r="A9" s="44"/>
      <c r="B9" s="19" t="s">
        <v>1980</v>
      </c>
      <c r="C9" s="20" t="s">
        <v>1979</v>
      </c>
      <c r="D9" s="20" t="s">
        <v>482</v>
      </c>
      <c r="E9" s="20" t="s">
        <v>20</v>
      </c>
      <c r="F9" s="20" t="s">
        <v>448</v>
      </c>
      <c r="G9" s="20">
        <v>63.4</v>
      </c>
      <c r="H9" s="20" t="s">
        <v>87</v>
      </c>
      <c r="I9" s="95" t="str">
        <f>VLOOKUP(H9,Sheet4!A:B,2,)</f>
        <v>Gunmetal Machine Face</v>
      </c>
      <c r="J9" s="42">
        <f>2-2+2-2+2-2+2-2+2-2+2-2+4-2-2+2-2+2-2+2+2-2-2+2+2+2</f>
        <v>6</v>
      </c>
    </row>
    <row r="10" s="6" customFormat="1" ht="25" customHeight="1" spans="1:10">
      <c r="A10" s="44"/>
      <c r="B10" s="19" t="s">
        <v>1981</v>
      </c>
      <c r="C10" s="20" t="s">
        <v>1979</v>
      </c>
      <c r="D10" s="20" t="s">
        <v>29</v>
      </c>
      <c r="E10" s="20" t="s">
        <v>20</v>
      </c>
      <c r="F10" s="20">
        <v>35</v>
      </c>
      <c r="G10" s="20">
        <v>63.4</v>
      </c>
      <c r="H10" s="20" t="s">
        <v>87</v>
      </c>
      <c r="I10" s="95" t="str">
        <f>VLOOKUP(H10,Sheet4!A:B,2,)</f>
        <v>Gunmetal Machine Face</v>
      </c>
      <c r="J10" s="42">
        <f>2-2+2-2+4-2-2+4+2-2-2+2-2-2+4</f>
        <v>4</v>
      </c>
    </row>
    <row r="11" s="6" customFormat="1" ht="25" customHeight="1" spans="1:10">
      <c r="A11" s="46"/>
      <c r="B11" s="23" t="s">
        <v>1981</v>
      </c>
      <c r="C11" s="24" t="s">
        <v>1979</v>
      </c>
      <c r="D11" s="24" t="s">
        <v>225</v>
      </c>
      <c r="E11" s="24" t="s">
        <v>20</v>
      </c>
      <c r="F11" s="24" t="s">
        <v>448</v>
      </c>
      <c r="G11" s="24">
        <v>63.4</v>
      </c>
      <c r="H11" s="24" t="s">
        <v>87</v>
      </c>
      <c r="I11" s="98" t="str">
        <f>VLOOKUP(H11,Sheet4!A:B,2,)</f>
        <v>Gunmetal Machine Face</v>
      </c>
      <c r="J11" s="43">
        <f>2-2+2-2+4-2-2+4+2-2-2+2-2-2+4</f>
        <v>4</v>
      </c>
    </row>
    <row r="12" s="6" customFormat="1" ht="61" customHeight="1" spans="1:10">
      <c r="A12" s="82"/>
      <c r="B12" s="99" t="s">
        <v>1982</v>
      </c>
      <c r="C12" s="20" t="s">
        <v>1983</v>
      </c>
      <c r="D12" s="20" t="s">
        <v>29</v>
      </c>
      <c r="E12" s="20" t="s">
        <v>20</v>
      </c>
      <c r="F12" s="20">
        <v>35</v>
      </c>
      <c r="G12" s="20">
        <v>63.4</v>
      </c>
      <c r="H12" s="20" t="s">
        <v>36</v>
      </c>
      <c r="I12" s="95" t="str">
        <f>VLOOKUP(H12,Sheet4!A:B,2,)</f>
        <v>Black Machine Face</v>
      </c>
      <c r="J12" s="42">
        <f>2-2</f>
        <v>0</v>
      </c>
    </row>
    <row r="13" ht="61" customHeight="1" spans="1:10">
      <c r="A13" s="84"/>
      <c r="B13" s="100" t="s">
        <v>1982</v>
      </c>
      <c r="C13" s="24" t="s">
        <v>1983</v>
      </c>
      <c r="D13" s="24" t="s">
        <v>225</v>
      </c>
      <c r="E13" s="24" t="s">
        <v>20</v>
      </c>
      <c r="F13" s="24">
        <v>40</v>
      </c>
      <c r="G13" s="24">
        <v>63.4</v>
      </c>
      <c r="H13" s="24" t="s">
        <v>36</v>
      </c>
      <c r="I13" s="98" t="str">
        <f>VLOOKUP(H13,Sheet4!A:B,2,)</f>
        <v>Black Machine Face</v>
      </c>
      <c r="J13" s="43">
        <v>0</v>
      </c>
    </row>
    <row r="14" spans="1:10">
      <c r="A14" s="58"/>
    </row>
    <row r="15" spans="1:10">
      <c r="A15" s="58"/>
    </row>
    <row r="16" spans="1:10">
      <c r="A16" s="58"/>
    </row>
    <row r="17" spans="1:1">
      <c r="A17" s="58"/>
    </row>
    <row r="18" spans="1:1">
      <c r="A18" s="58"/>
    </row>
    <row r="19" spans="1:1">
      <c r="A19" s="58"/>
    </row>
    <row r="20" spans="1:1">
      <c r="A20" s="58"/>
    </row>
    <row r="21" spans="1:1">
      <c r="A21" s="58"/>
    </row>
    <row r="22" spans="1:1">
      <c r="A22" s="58"/>
    </row>
    <row r="23" spans="1:1">
      <c r="A23" s="58"/>
    </row>
    <row r="24" spans="1:1">
      <c r="A24" s="58"/>
    </row>
    <row r="25" spans="1:1">
      <c r="A25" s="58"/>
    </row>
    <row r="26" spans="1:1">
      <c r="A26" s="58"/>
    </row>
    <row r="27" spans="1:1">
      <c r="A27" s="58"/>
    </row>
    <row r="28" spans="1:1">
      <c r="A28" s="58"/>
    </row>
    <row r="29" spans="1:1">
      <c r="A29" s="58"/>
    </row>
    <row r="30" spans="1:1">
      <c r="A30" s="58"/>
    </row>
    <row r="31" spans="1:1">
      <c r="A31" s="58"/>
    </row>
    <row r="32" spans="1:1">
      <c r="A32" s="58"/>
    </row>
    <row r="33" spans="1:1">
      <c r="A33" s="58"/>
    </row>
    <row r="34" spans="1:1">
      <c r="A34" s="58"/>
    </row>
    <row r="35" spans="1:1">
      <c r="A35" s="58"/>
    </row>
    <row r="36" spans="1:1">
      <c r="A36" s="58"/>
    </row>
    <row r="37" spans="1:1">
      <c r="A37" s="58"/>
    </row>
    <row r="38" spans="1:1">
      <c r="A38" s="58"/>
    </row>
    <row r="39" spans="1:1">
      <c r="A39" s="58"/>
    </row>
    <row r="40" spans="1:1">
      <c r="A40" s="58"/>
    </row>
    <row r="41" spans="1:1">
      <c r="A41" s="58"/>
    </row>
    <row r="42" spans="1:1">
      <c r="A42" s="58"/>
    </row>
    <row r="43" spans="1:1">
      <c r="A43" s="58"/>
    </row>
    <row r="44" spans="1:1">
      <c r="A44" s="58"/>
    </row>
    <row r="45" spans="1:1">
      <c r="A45" s="58"/>
    </row>
    <row r="46" spans="1:1">
      <c r="A46" s="58"/>
    </row>
    <row r="47" spans="1:1">
      <c r="A47" s="58"/>
    </row>
    <row r="48" spans="1:1">
      <c r="A48" s="58"/>
    </row>
    <row r="49" spans="1:1">
      <c r="A49" s="58"/>
    </row>
    <row r="50" spans="1:1">
      <c r="A50" s="58"/>
    </row>
    <row r="51" spans="1:1">
      <c r="A51" s="58"/>
    </row>
    <row r="52" spans="1:1">
      <c r="A52" s="58"/>
    </row>
    <row r="53" spans="1:1">
      <c r="A53" s="58"/>
    </row>
    <row r="54" spans="1:1">
      <c r="A54" s="58"/>
    </row>
    <row r="55" spans="1:1">
      <c r="A55" s="58"/>
    </row>
    <row r="56" spans="1:1">
      <c r="A56" s="58"/>
    </row>
    <row r="57" spans="1:1">
      <c r="A57" s="58"/>
    </row>
    <row r="58" spans="1:1">
      <c r="A58" s="58"/>
    </row>
    <row r="59" spans="1:1">
      <c r="A59" s="58"/>
    </row>
    <row r="60" spans="1:1">
      <c r="A60" s="58"/>
    </row>
    <row r="61" spans="1:1">
      <c r="A61" s="58"/>
    </row>
    <row r="62" spans="1:1">
      <c r="A62" s="58"/>
    </row>
    <row r="63" spans="1:1">
      <c r="A63" s="58"/>
    </row>
    <row r="64" spans="1:1">
      <c r="A64" s="58"/>
    </row>
    <row r="65" spans="1:1">
      <c r="A65" s="58"/>
    </row>
    <row r="66" spans="1:1">
      <c r="A66" s="58"/>
    </row>
    <row r="67" spans="1:1">
      <c r="A67" s="58"/>
    </row>
    <row r="68" spans="1:1">
      <c r="A68" s="58"/>
    </row>
    <row r="69" spans="1:1">
      <c r="A69" s="58"/>
    </row>
    <row r="70" spans="1:1">
      <c r="A70" s="58"/>
    </row>
    <row r="71" spans="1:1">
      <c r="A71" s="58"/>
    </row>
    <row r="72" spans="1:1">
      <c r="A72" s="58"/>
    </row>
    <row r="73" spans="1:1">
      <c r="A73" s="58"/>
    </row>
    <row r="74" spans="1:1">
      <c r="A74" s="58"/>
    </row>
    <row r="75" spans="1:1">
      <c r="A75" s="58"/>
    </row>
    <row r="76" spans="1:1">
      <c r="A76" s="58"/>
    </row>
    <row r="77" spans="1:1">
      <c r="A77" s="58"/>
    </row>
    <row r="78" spans="1:1">
      <c r="A78" s="58"/>
    </row>
    <row r="79" spans="1:1">
      <c r="A79" s="58"/>
    </row>
    <row r="80" spans="1:1">
      <c r="A80" s="58"/>
    </row>
    <row r="81" spans="1:1">
      <c r="A81" s="58"/>
    </row>
    <row r="82" spans="1:1">
      <c r="A82" s="58"/>
    </row>
    <row r="83" spans="1:1">
      <c r="A83" s="58"/>
    </row>
    <row r="84" spans="1:1">
      <c r="A84" s="58"/>
    </row>
    <row r="85" spans="1:1">
      <c r="A85" s="58"/>
    </row>
    <row r="86" spans="1:1">
      <c r="A86" s="58"/>
    </row>
    <row r="87" spans="1:1">
      <c r="A87" s="58"/>
    </row>
    <row r="88" spans="1:1">
      <c r="A88" s="58"/>
    </row>
    <row r="89" spans="1:1">
      <c r="A89" s="58"/>
    </row>
    <row r="90" spans="1:1">
      <c r="A90" s="58"/>
    </row>
    <row r="91" spans="1:1">
      <c r="A91" s="58"/>
    </row>
    <row r="92" spans="1:1">
      <c r="A92" s="58"/>
    </row>
    <row r="93" spans="1:1">
      <c r="A93" s="58"/>
    </row>
    <row r="94" spans="1:1">
      <c r="A94" s="58"/>
    </row>
    <row r="95" spans="1:1">
      <c r="A95" s="58"/>
    </row>
    <row r="96" spans="1:1">
      <c r="A96" s="58"/>
    </row>
    <row r="97" spans="1:1">
      <c r="A97" s="58"/>
    </row>
    <row r="98" spans="1:1">
      <c r="A98" s="58"/>
    </row>
    <row r="99" spans="1:1">
      <c r="A99" s="58"/>
    </row>
    <row r="100" spans="1:1">
      <c r="A100" s="58"/>
    </row>
    <row r="101" spans="1:1">
      <c r="A101" s="58"/>
    </row>
    <row r="102" spans="1:1">
      <c r="A102" s="58"/>
    </row>
    <row r="103" spans="1:1">
      <c r="A103" s="58"/>
    </row>
    <row r="104" spans="1:1">
      <c r="A104" s="58"/>
    </row>
    <row r="105" spans="1:1">
      <c r="A105" s="58"/>
    </row>
    <row r="106" spans="1:1">
      <c r="A106" s="58"/>
    </row>
    <row r="107" spans="1:1">
      <c r="A107" s="58"/>
    </row>
    <row r="108" spans="1:1">
      <c r="A108" s="58"/>
    </row>
    <row r="109" spans="1:1">
      <c r="A109" s="58"/>
    </row>
    <row r="110" spans="1:1">
      <c r="A110" s="58"/>
    </row>
    <row r="111" spans="1:1">
      <c r="A111" s="58"/>
    </row>
    <row r="112" spans="1:1">
      <c r="A112" s="58"/>
    </row>
    <row r="113" spans="1:1">
      <c r="A113" s="58"/>
    </row>
    <row r="114" spans="1:1">
      <c r="A114" s="58"/>
    </row>
    <row r="115" spans="1:1">
      <c r="A115" s="58"/>
    </row>
    <row r="116" spans="1:1">
      <c r="A116" s="58"/>
    </row>
    <row r="117" spans="1:1">
      <c r="A117" s="58"/>
    </row>
    <row r="118" spans="1:1">
      <c r="A118" s="58"/>
    </row>
    <row r="119" spans="1:1">
      <c r="A119" s="58"/>
    </row>
    <row r="120" spans="1:1">
      <c r="A120" s="58"/>
    </row>
    <row r="121" spans="1:1">
      <c r="A121" s="58"/>
    </row>
    <row r="122" spans="1:1">
      <c r="A122" s="58"/>
    </row>
    <row r="123" spans="1:1">
      <c r="A123" s="58"/>
    </row>
    <row r="124" spans="1:1">
      <c r="A124" s="58"/>
    </row>
    <row r="125" spans="1:1">
      <c r="A125" s="58"/>
    </row>
    <row r="126" spans="1:1">
      <c r="A126" s="58"/>
    </row>
    <row r="127" spans="1:1">
      <c r="A127" s="58"/>
    </row>
    <row r="128" spans="1:1">
      <c r="A128" s="58"/>
    </row>
    <row r="129" spans="1:10">
      <c r="A129" s="58"/>
    </row>
    <row r="130" spans="1:10">
      <c r="A130" s="58"/>
    </row>
    <row r="131" spans="1:10">
      <c r="A131" s="58"/>
    </row>
    <row r="132" spans="1:10">
      <c r="A132" s="59"/>
      <c r="B132" s="60"/>
      <c r="C132" s="101"/>
      <c r="D132" s="101"/>
      <c r="E132" s="101"/>
      <c r="F132" s="101"/>
      <c r="G132" s="101"/>
      <c r="H132" s="101"/>
      <c r="I132" s="101"/>
      <c r="J132" s="62"/>
    </row>
  </sheetData>
  <autoFilter xmlns:etc="http://www.wps.cn/officeDocument/2017/etCustomData" ref="A2:J13" etc:filterBottomFollowUsedRange="0">
    <extLst/>
  </autoFilter>
  <mergeCells count="1">
    <mergeCell ref="A10:A11"/>
  </mergeCells>
  <pageMargins left="0.235416666666667" right="0.275" top="0.354166666666667" bottom="0.235416666666667" header="0.511805555555556" footer="0.235416666666667"/>
  <pageSetup paperSize="9" scale="70" orientation="landscape" horizontalDpi="600"/>
  <headerFooter>
    <oddFooter>&amp;C&amp;14&amp;B捷豹 第 &amp;P 页，共 &amp;N 页</oddFooter>
  </headerFooter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4"/>
  <sheetViews>
    <sheetView zoomScale="115" zoomScaleNormal="115" workbookViewId="0">
      <pane xSplit="1" ySplit="2" topLeftCell="B3" activePane="bottomRight" state="frozen"/>
      <selection/>
      <selection pane="topRight"/>
      <selection pane="bottomLeft"/>
      <selection pane="bottomRight" activeCell="I25" sqref="I25"/>
    </sheetView>
  </sheetViews>
  <sheetFormatPr defaultColWidth="9" defaultRowHeight="13.5" outlineLevelRow="3"/>
  <cols>
    <col min="1" max="1" width="22.5" style="8" customWidth="1"/>
    <col min="2" max="2" width="17.25" style="10" customWidth="1"/>
    <col min="3" max="3" width="11.875" style="10" customWidth="1"/>
    <col min="4" max="4" width="12" style="10" customWidth="1"/>
    <col min="5" max="5" width="12.375" style="10" customWidth="1"/>
    <col min="6" max="6" width="10.875" style="10" customWidth="1"/>
    <col min="7" max="7" width="12.25" style="10" customWidth="1"/>
    <col min="8" max="8" width="12.5" style="10" customWidth="1"/>
    <col min="9" max="9" width="17.25" style="10" customWidth="1"/>
    <col min="10" max="10" width="17.25" style="63" customWidth="1"/>
    <col min="11" max="16384" width="9" style="8"/>
  </cols>
  <sheetData>
    <row r="1" s="63" customFormat="1" ht="71" customHeight="1" spans="1:10">
      <c r="A1" s="7"/>
      <c r="B1" s="89"/>
      <c r="C1" s="89"/>
      <c r="D1" s="89"/>
      <c r="E1" s="89"/>
      <c r="F1" s="89"/>
      <c r="G1" s="89"/>
      <c r="H1" s="89"/>
      <c r="I1" s="89"/>
      <c r="J1" s="7"/>
    </row>
    <row r="2" s="5" customFormat="1" ht="26" customHeight="1" spans="1:10">
      <c r="A2" s="16" t="s">
        <v>0</v>
      </c>
      <c r="B2" s="17" t="s">
        <v>1</v>
      </c>
      <c r="C2" s="17" t="s">
        <v>2</v>
      </c>
      <c r="D2" s="17" t="s">
        <v>3</v>
      </c>
      <c r="E2" s="17" t="s">
        <v>4</v>
      </c>
      <c r="F2" s="17" t="s">
        <v>5</v>
      </c>
      <c r="G2" s="17" t="s">
        <v>6</v>
      </c>
      <c r="H2" s="17" t="s">
        <v>7</v>
      </c>
      <c r="I2" s="17" t="s">
        <v>8</v>
      </c>
      <c r="J2" s="16" t="s">
        <v>9</v>
      </c>
    </row>
    <row r="3" s="63" customFormat="1" ht="48" customHeight="1" spans="1:10">
      <c r="A3" s="33"/>
      <c r="B3" s="19" t="s">
        <v>1984</v>
      </c>
      <c r="C3" s="20" t="s">
        <v>1985</v>
      </c>
      <c r="D3" s="20" t="s">
        <v>19</v>
      </c>
      <c r="E3" s="20" t="s">
        <v>40</v>
      </c>
      <c r="F3" s="20">
        <v>35</v>
      </c>
      <c r="G3" s="20">
        <v>67.1</v>
      </c>
      <c r="H3" s="20" t="s">
        <v>1449</v>
      </c>
      <c r="I3" s="20" t="str">
        <f>VLOOKUP(H3,Sheet4!A:B,2,)</f>
        <v>MATTE GREY</v>
      </c>
      <c r="J3" s="42">
        <f>2</f>
        <v>2</v>
      </c>
    </row>
    <row r="4" s="63" customFormat="1" ht="48" customHeight="1" spans="1:10">
      <c r="A4" s="34"/>
      <c r="B4" s="23" t="s">
        <v>1984</v>
      </c>
      <c r="C4" s="24" t="s">
        <v>1985</v>
      </c>
      <c r="D4" s="24" t="s">
        <v>994</v>
      </c>
      <c r="E4" s="24" t="s">
        <v>40</v>
      </c>
      <c r="F4" s="24">
        <v>38</v>
      </c>
      <c r="G4" s="24">
        <v>67.1</v>
      </c>
      <c r="H4" s="24" t="s">
        <v>1449</v>
      </c>
      <c r="I4" s="24" t="str">
        <f>VLOOKUP(H4,Sheet4!A:B,2,)</f>
        <v>MATTE GREY</v>
      </c>
      <c r="J4" s="43">
        <f>2</f>
        <v>2</v>
      </c>
    </row>
  </sheetData>
  <autoFilter xmlns:etc="http://www.wps.cn/officeDocument/2017/etCustomData" ref="A2:J4" etc:filterBottomFollowUsedRange="0">
    <extLst/>
  </autoFilter>
  <pageMargins left="0.275" right="0.75" top="1" bottom="1" header="0.5" footer="0.5"/>
  <pageSetup paperSize="9" scale="70" orientation="landscape"/>
  <headerFooter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indexed="49"/>
  </sheetPr>
  <dimension ref="A1:J132"/>
  <sheetViews>
    <sheetView workbookViewId="0">
      <pane xSplit="1" ySplit="2" topLeftCell="B3" activePane="bottomRight" state="frozen"/>
      <selection/>
      <selection pane="topRight"/>
      <selection pane="bottomLeft"/>
      <selection pane="bottomRight" activeCell="J14" sqref="J14"/>
    </sheetView>
  </sheetViews>
  <sheetFormatPr defaultColWidth="9" defaultRowHeight="13.5"/>
  <cols>
    <col min="1" max="1" width="22.5" style="8" customWidth="1"/>
    <col min="2" max="2" width="20.5" style="9" customWidth="1"/>
    <col min="3" max="3" width="11" style="10" customWidth="1"/>
    <col min="4" max="4" width="12.375" style="10" customWidth="1"/>
    <col min="5" max="5" width="11.75" style="10" customWidth="1"/>
    <col min="6" max="6" width="10.5" style="10" customWidth="1"/>
    <col min="7" max="7" width="12.5" style="10" customWidth="1"/>
    <col min="8" max="8" width="17.625" style="10" customWidth="1"/>
    <col min="9" max="9" width="23.125" style="10" customWidth="1"/>
    <col min="10" max="10" width="14.75" style="63" customWidth="1"/>
    <col min="11" max="16384" width="9" style="8"/>
  </cols>
  <sheetData>
    <row r="1" ht="87" customHeight="1"/>
    <row r="2" s="5" customFormat="1" ht="26" customHeight="1" spans="1:10">
      <c r="A2" s="16" t="s">
        <v>0</v>
      </c>
      <c r="B2" s="17" t="s">
        <v>1</v>
      </c>
      <c r="C2" s="17" t="s">
        <v>2</v>
      </c>
      <c r="D2" s="17" t="s">
        <v>3</v>
      </c>
      <c r="E2" s="17" t="s">
        <v>4</v>
      </c>
      <c r="F2" s="17" t="s">
        <v>5</v>
      </c>
      <c r="G2" s="17" t="s">
        <v>6</v>
      </c>
      <c r="H2" s="17" t="s">
        <v>7</v>
      </c>
      <c r="I2" s="17" t="s">
        <v>8</v>
      </c>
      <c r="J2" s="81" t="s">
        <v>9</v>
      </c>
    </row>
    <row r="3" ht="63" customHeight="1" spans="1:10">
      <c r="A3" s="82"/>
      <c r="B3" s="19" t="s">
        <v>1986</v>
      </c>
      <c r="C3" s="20" t="s">
        <v>1987</v>
      </c>
      <c r="D3" s="20" t="s">
        <v>1024</v>
      </c>
      <c r="E3" s="20" t="s">
        <v>218</v>
      </c>
      <c r="F3" s="20">
        <v>55</v>
      </c>
      <c r="G3" s="20">
        <v>71.5</v>
      </c>
      <c r="H3" s="20" t="s">
        <v>26</v>
      </c>
      <c r="I3" s="41" t="str">
        <f>VLOOKUP(H3,Sheet4!A:B,2,)</f>
        <v>Gloss Black Polisph Face</v>
      </c>
      <c r="J3" s="83">
        <f>2</f>
        <v>2</v>
      </c>
    </row>
    <row r="4" ht="60" customHeight="1" spans="1:10">
      <c r="A4" s="84"/>
      <c r="B4" s="23" t="s">
        <v>1986</v>
      </c>
      <c r="C4" s="24" t="s">
        <v>1987</v>
      </c>
      <c r="D4" s="24" t="s">
        <v>39</v>
      </c>
      <c r="E4" s="24" t="s">
        <v>218</v>
      </c>
      <c r="F4" s="24">
        <v>60</v>
      </c>
      <c r="G4" s="24">
        <v>71.5</v>
      </c>
      <c r="H4" s="24" t="s">
        <v>26</v>
      </c>
      <c r="I4" s="47" t="str">
        <f>VLOOKUP(H4,Sheet4!A:B,2,)</f>
        <v>Gloss Black Polisph Face</v>
      </c>
      <c r="J4" s="85">
        <f>2</f>
        <v>2</v>
      </c>
    </row>
    <row r="5" ht="26" customHeight="1" spans="1:10">
      <c r="A5" s="82"/>
      <c r="B5" s="19" t="s">
        <v>1988</v>
      </c>
      <c r="C5" s="20" t="s">
        <v>1987</v>
      </c>
      <c r="D5" s="20" t="s">
        <v>39</v>
      </c>
      <c r="E5" s="20" t="s">
        <v>208</v>
      </c>
      <c r="F5" s="20">
        <v>38</v>
      </c>
      <c r="G5" s="20">
        <v>57.1</v>
      </c>
      <c r="H5" s="20" t="s">
        <v>53</v>
      </c>
      <c r="I5" s="66" t="str">
        <f>VLOOKUP(H5,Sheet4!A:B,2,)</f>
        <v>polish</v>
      </c>
      <c r="J5" s="83">
        <v>0</v>
      </c>
    </row>
    <row r="6" ht="26" customHeight="1" spans="1:10">
      <c r="A6" s="82"/>
      <c r="B6" s="19" t="s">
        <v>1989</v>
      </c>
      <c r="C6" s="20" t="s">
        <v>1990</v>
      </c>
      <c r="D6" s="20" t="s">
        <v>34</v>
      </c>
      <c r="E6" s="20" t="s">
        <v>218</v>
      </c>
      <c r="F6" s="20">
        <v>60</v>
      </c>
      <c r="G6" s="20">
        <v>71.6</v>
      </c>
      <c r="H6" s="20" t="s">
        <v>16</v>
      </c>
      <c r="I6" s="66" t="str">
        <f>VLOOKUP(H6,Sheet4!A:B,2,)</f>
        <v>GLOSS BLACK</v>
      </c>
      <c r="J6" s="83">
        <v>2</v>
      </c>
    </row>
    <row r="7" ht="26" customHeight="1" spans="1:10">
      <c r="A7" s="82"/>
      <c r="B7" s="19" t="s">
        <v>1989</v>
      </c>
      <c r="C7" s="20" t="s">
        <v>1990</v>
      </c>
      <c r="D7" s="20" t="s">
        <v>1292</v>
      </c>
      <c r="E7" s="20" t="s">
        <v>218</v>
      </c>
      <c r="F7" s="20">
        <v>55</v>
      </c>
      <c r="G7" s="20">
        <v>71.6</v>
      </c>
      <c r="H7" s="20" t="s">
        <v>16</v>
      </c>
      <c r="I7" s="66" t="str">
        <f>VLOOKUP(H7,Sheet4!A:B,2,)</f>
        <v>GLOSS BLACK</v>
      </c>
      <c r="J7" s="83">
        <v>2</v>
      </c>
    </row>
    <row r="8" ht="26" customHeight="1" spans="1:10">
      <c r="A8" s="82"/>
      <c r="B8" s="19" t="s">
        <v>1991</v>
      </c>
      <c r="C8" s="20" t="s">
        <v>1990</v>
      </c>
      <c r="D8" s="20" t="s">
        <v>34</v>
      </c>
      <c r="E8" s="20" t="s">
        <v>218</v>
      </c>
      <c r="F8" s="20">
        <v>60</v>
      </c>
      <c r="G8" s="20">
        <v>71.6</v>
      </c>
      <c r="H8" s="20" t="s">
        <v>26</v>
      </c>
      <c r="I8" s="41" t="str">
        <f>VLOOKUP(H8,Sheet4!A:B,2,)</f>
        <v>Gloss Black Polisph Face</v>
      </c>
      <c r="J8" s="83">
        <f>2+2-2</f>
        <v>2</v>
      </c>
    </row>
    <row r="9" ht="26" customHeight="1" spans="1:10">
      <c r="A9" s="82"/>
      <c r="B9" s="19" t="s">
        <v>1991</v>
      </c>
      <c r="C9" s="20" t="s">
        <v>1990</v>
      </c>
      <c r="D9" s="20" t="s">
        <v>1292</v>
      </c>
      <c r="E9" s="20" t="s">
        <v>218</v>
      </c>
      <c r="F9" s="20">
        <v>55</v>
      </c>
      <c r="G9" s="20">
        <v>71.6</v>
      </c>
      <c r="H9" s="20" t="s">
        <v>26</v>
      </c>
      <c r="I9" s="41" t="str">
        <f>VLOOKUP(H9,Sheet4!A:B,2,)</f>
        <v>Gloss Black Polisph Face</v>
      </c>
      <c r="J9" s="83">
        <f>2+2-2</f>
        <v>2</v>
      </c>
    </row>
    <row r="10" ht="32" customHeight="1" spans="1:10">
      <c r="A10" s="86"/>
      <c r="B10" s="53" t="s">
        <v>1992</v>
      </c>
      <c r="C10" s="54" t="s">
        <v>1987</v>
      </c>
      <c r="D10" s="54" t="s">
        <v>39</v>
      </c>
      <c r="E10" s="54" t="s">
        <v>208</v>
      </c>
      <c r="F10" s="54">
        <v>38</v>
      </c>
      <c r="G10" s="54">
        <v>57.1</v>
      </c>
      <c r="H10" s="54" t="s">
        <v>36</v>
      </c>
      <c r="I10" s="87" t="str">
        <f>VLOOKUP(H10,Sheet4!A:B,2,)</f>
        <v>Black Machine Face</v>
      </c>
      <c r="J10" s="88">
        <v>0</v>
      </c>
    </row>
    <row r="11" ht="32" customHeight="1" spans="1:10">
      <c r="A11" s="82"/>
      <c r="B11" s="19" t="s">
        <v>1993</v>
      </c>
      <c r="C11" s="20" t="s">
        <v>1987</v>
      </c>
      <c r="D11" s="20" t="s">
        <v>39</v>
      </c>
      <c r="E11" s="20" t="s">
        <v>208</v>
      </c>
      <c r="F11" s="20">
        <v>38</v>
      </c>
      <c r="G11" s="20">
        <v>57.1</v>
      </c>
      <c r="H11" s="20" t="s">
        <v>26</v>
      </c>
      <c r="I11" s="41" t="str">
        <f>VLOOKUP(H11,Sheet4!A:B,2,)</f>
        <v>Gloss Black Polisph Face</v>
      </c>
      <c r="J11" s="83">
        <f>4-4+4-4</f>
        <v>0</v>
      </c>
    </row>
    <row r="12" ht="32" customHeight="1" spans="1:10">
      <c r="A12" s="82"/>
      <c r="B12" s="19" t="s">
        <v>1994</v>
      </c>
      <c r="C12" s="20" t="s">
        <v>1990</v>
      </c>
      <c r="D12" s="20" t="s">
        <v>34</v>
      </c>
      <c r="E12" s="20" t="s">
        <v>218</v>
      </c>
      <c r="F12" s="20">
        <v>60</v>
      </c>
      <c r="G12" s="20">
        <v>71.6</v>
      </c>
      <c r="H12" s="20" t="s">
        <v>26</v>
      </c>
      <c r="I12" s="41" t="str">
        <f>VLOOKUP(H12,Sheet4!A:B,2,)</f>
        <v>Gloss Black Polisph Face</v>
      </c>
      <c r="J12" s="83">
        <f>2-2</f>
        <v>0</v>
      </c>
    </row>
    <row r="13" ht="32" customHeight="1" spans="1:10">
      <c r="A13" s="84"/>
      <c r="B13" s="23" t="s">
        <v>1994</v>
      </c>
      <c r="C13" s="24" t="s">
        <v>1990</v>
      </c>
      <c r="D13" s="24" t="s">
        <v>1292</v>
      </c>
      <c r="E13" s="24" t="s">
        <v>218</v>
      </c>
      <c r="F13" s="24">
        <v>55</v>
      </c>
      <c r="G13" s="24">
        <v>71.6</v>
      </c>
      <c r="H13" s="24" t="s">
        <v>26</v>
      </c>
      <c r="I13" s="47" t="str">
        <f>VLOOKUP(H13,Sheet4!A:B,2,)</f>
        <v>Gloss Black Polisph Face</v>
      </c>
      <c r="J13" s="85">
        <f>2-2</f>
        <v>0</v>
      </c>
    </row>
    <row r="14" ht="105" customHeight="1" spans="1:10">
      <c r="A14" s="84"/>
      <c r="B14" s="23" t="s">
        <v>1995</v>
      </c>
      <c r="C14" s="24" t="s">
        <v>1996</v>
      </c>
      <c r="D14" s="24" t="s">
        <v>343</v>
      </c>
      <c r="E14" s="24" t="s">
        <v>218</v>
      </c>
      <c r="F14" s="24">
        <v>20</v>
      </c>
      <c r="G14" s="24">
        <v>71.56</v>
      </c>
      <c r="H14" s="24" t="s">
        <v>21</v>
      </c>
      <c r="I14" s="24" t="str">
        <f>VLOOKUP(H14,Sheet4!A:B,2,)</f>
        <v>Black Machine Face</v>
      </c>
      <c r="J14" s="85">
        <f>4-4+12-4-4</f>
        <v>4</v>
      </c>
    </row>
    <row r="15" spans="1:10">
      <c r="A15" s="58"/>
    </row>
    <row r="16" spans="1:10">
      <c r="A16" s="58"/>
    </row>
    <row r="17" spans="1:1">
      <c r="A17" s="58"/>
    </row>
    <row r="18" spans="1:1">
      <c r="A18" s="58"/>
    </row>
    <row r="19" spans="1:1">
      <c r="A19" s="58"/>
    </row>
    <row r="20" spans="1:1">
      <c r="A20" s="58"/>
    </row>
    <row r="21" spans="1:1">
      <c r="A21" s="58"/>
    </row>
    <row r="22" spans="1:1">
      <c r="A22" s="58"/>
    </row>
    <row r="23" spans="1:1">
      <c r="A23" s="58"/>
    </row>
    <row r="24" spans="1:1">
      <c r="A24" s="58"/>
    </row>
    <row r="25" spans="1:1">
      <c r="A25" s="58"/>
    </row>
    <row r="26" spans="1:1">
      <c r="A26" s="58"/>
    </row>
    <row r="27" spans="1:1">
      <c r="A27" s="58"/>
    </row>
    <row r="28" spans="1:1">
      <c r="A28" s="58"/>
    </row>
    <row r="29" spans="1:1">
      <c r="A29" s="58"/>
    </row>
    <row r="30" spans="1:1">
      <c r="A30" s="58"/>
    </row>
    <row r="31" spans="1:1">
      <c r="A31" s="58"/>
    </row>
    <row r="32" spans="1:1">
      <c r="A32" s="58"/>
    </row>
    <row r="33" spans="1:1">
      <c r="A33" s="58"/>
    </row>
    <row r="34" spans="1:1">
      <c r="A34" s="58"/>
    </row>
    <row r="35" spans="1:1">
      <c r="A35" s="58"/>
    </row>
    <row r="36" spans="1:1">
      <c r="A36" s="58"/>
    </row>
    <row r="37" spans="1:1">
      <c r="A37" s="58"/>
    </row>
    <row r="38" spans="1:1">
      <c r="A38" s="58"/>
    </row>
    <row r="39" spans="1:1">
      <c r="A39" s="58"/>
    </row>
    <row r="40" spans="1:1">
      <c r="A40" s="58"/>
    </row>
    <row r="41" spans="1:1">
      <c r="A41" s="58"/>
    </row>
    <row r="42" spans="1:1">
      <c r="A42" s="58"/>
    </row>
    <row r="43" spans="1:1">
      <c r="A43" s="58"/>
    </row>
    <row r="44" spans="1:1">
      <c r="A44" s="58"/>
    </row>
    <row r="45" spans="1:1">
      <c r="A45" s="58"/>
    </row>
    <row r="46" spans="1:1">
      <c r="A46" s="58"/>
    </row>
    <row r="47" spans="1:1">
      <c r="A47" s="58"/>
    </row>
    <row r="48" spans="1:1">
      <c r="A48" s="58"/>
    </row>
    <row r="49" spans="1:1">
      <c r="A49" s="58"/>
    </row>
    <row r="50" spans="1:1">
      <c r="A50" s="58"/>
    </row>
    <row r="51" spans="1:1">
      <c r="A51" s="58"/>
    </row>
    <row r="52" spans="1:1">
      <c r="A52" s="58"/>
    </row>
    <row r="53" spans="1:1">
      <c r="A53" s="58"/>
    </row>
    <row r="54" spans="1:1">
      <c r="A54" s="58"/>
    </row>
    <row r="55" spans="1:1">
      <c r="A55" s="58"/>
    </row>
    <row r="56" spans="1:1">
      <c r="A56" s="58"/>
    </row>
    <row r="57" spans="1:1">
      <c r="A57" s="58"/>
    </row>
    <row r="58" spans="1:1">
      <c r="A58" s="58"/>
    </row>
    <row r="59" spans="1:1">
      <c r="A59" s="58"/>
    </row>
    <row r="60" spans="1:1">
      <c r="A60" s="58"/>
    </row>
    <row r="61" spans="1:1">
      <c r="A61" s="58"/>
    </row>
    <row r="62" spans="1:1">
      <c r="A62" s="58"/>
    </row>
    <row r="63" spans="1:1">
      <c r="A63" s="58"/>
    </row>
    <row r="64" spans="1:1">
      <c r="A64" s="58"/>
    </row>
    <row r="65" spans="1:1">
      <c r="A65" s="58"/>
    </row>
    <row r="66" spans="1:1">
      <c r="A66" s="58"/>
    </row>
    <row r="67" spans="1:1">
      <c r="A67" s="58"/>
    </row>
    <row r="68" spans="1:1">
      <c r="A68" s="58"/>
    </row>
    <row r="69" spans="1:1">
      <c r="A69" s="58"/>
    </row>
    <row r="70" spans="1:1">
      <c r="A70" s="58"/>
    </row>
    <row r="71" spans="1:1">
      <c r="A71" s="58"/>
    </row>
    <row r="72" spans="1:1">
      <c r="A72" s="58"/>
    </row>
    <row r="73" spans="1:1">
      <c r="A73" s="58"/>
    </row>
    <row r="74" spans="1:1">
      <c r="A74" s="58"/>
    </row>
    <row r="75" spans="1:1">
      <c r="A75" s="58"/>
    </row>
    <row r="76" spans="1:1">
      <c r="A76" s="58"/>
    </row>
    <row r="77" spans="1:1">
      <c r="A77" s="58"/>
    </row>
    <row r="78" spans="1:1">
      <c r="A78" s="58"/>
    </row>
    <row r="79" spans="1:1">
      <c r="A79" s="58"/>
    </row>
    <row r="80" spans="1:1">
      <c r="A80" s="58"/>
    </row>
    <row r="81" spans="1:1">
      <c r="A81" s="58"/>
    </row>
    <row r="82" spans="1:1">
      <c r="A82" s="58"/>
    </row>
    <row r="83" spans="1:1">
      <c r="A83" s="58"/>
    </row>
    <row r="84" spans="1:1">
      <c r="A84" s="58"/>
    </row>
    <row r="85" spans="1:1">
      <c r="A85" s="58"/>
    </row>
    <row r="86" spans="1:1">
      <c r="A86" s="58"/>
    </row>
    <row r="87" spans="1:1">
      <c r="A87" s="58"/>
    </row>
    <row r="88" spans="1:1">
      <c r="A88" s="58"/>
    </row>
    <row r="89" spans="1:1">
      <c r="A89" s="58"/>
    </row>
    <row r="90" spans="1:1">
      <c r="A90" s="58"/>
    </row>
    <row r="91" spans="1:1">
      <c r="A91" s="58"/>
    </row>
    <row r="92" spans="1:1">
      <c r="A92" s="58"/>
    </row>
    <row r="93" spans="1:1">
      <c r="A93" s="58"/>
    </row>
    <row r="94" spans="1:1">
      <c r="A94" s="58"/>
    </row>
    <row r="95" spans="1:1">
      <c r="A95" s="58"/>
    </row>
    <row r="96" spans="1:1">
      <c r="A96" s="58"/>
    </row>
    <row r="97" spans="1:1">
      <c r="A97" s="58"/>
    </row>
    <row r="98" spans="1:1">
      <c r="A98" s="58"/>
    </row>
    <row r="99" spans="1:1">
      <c r="A99" s="58"/>
    </row>
    <row r="100" spans="1:1">
      <c r="A100" s="58"/>
    </row>
    <row r="101" spans="1:1">
      <c r="A101" s="58"/>
    </row>
    <row r="102" spans="1:1">
      <c r="A102" s="58"/>
    </row>
    <row r="103" spans="1:1">
      <c r="A103" s="58"/>
    </row>
    <row r="104" spans="1:1">
      <c r="A104" s="58"/>
    </row>
    <row r="105" spans="1:1">
      <c r="A105" s="58"/>
    </row>
    <row r="106" spans="1:1">
      <c r="A106" s="58"/>
    </row>
    <row r="107" spans="1:1">
      <c r="A107" s="58"/>
    </row>
    <row r="108" spans="1:1">
      <c r="A108" s="58"/>
    </row>
    <row r="109" spans="1:1">
      <c r="A109" s="58"/>
    </row>
    <row r="110" spans="1:1">
      <c r="A110" s="58"/>
    </row>
    <row r="111" spans="1:1">
      <c r="A111" s="58"/>
    </row>
    <row r="112" spans="1:1">
      <c r="A112" s="58"/>
    </row>
    <row r="113" spans="1:1">
      <c r="A113" s="58"/>
    </row>
    <row r="114" spans="1:1">
      <c r="A114" s="58"/>
    </row>
    <row r="115" spans="1:1">
      <c r="A115" s="58"/>
    </row>
    <row r="116" spans="1:1">
      <c r="A116" s="58"/>
    </row>
    <row r="117" spans="1:1">
      <c r="A117" s="58"/>
    </row>
    <row r="118" spans="1:1">
      <c r="A118" s="58"/>
    </row>
    <row r="119" spans="1:1">
      <c r="A119" s="58"/>
    </row>
    <row r="120" spans="1:1">
      <c r="A120" s="58"/>
    </row>
    <row r="121" spans="1:1">
      <c r="A121" s="58"/>
    </row>
    <row r="122" spans="1:1">
      <c r="A122" s="58"/>
    </row>
    <row r="123" spans="1:1">
      <c r="A123" s="58"/>
    </row>
    <row r="124" spans="1:1">
      <c r="A124" s="58"/>
    </row>
    <row r="125" spans="1:1">
      <c r="A125" s="58"/>
    </row>
    <row r="126" spans="1:1">
      <c r="A126" s="58"/>
    </row>
    <row r="127" spans="1:1">
      <c r="A127" s="58"/>
    </row>
    <row r="128" spans="1:1">
      <c r="A128" s="58"/>
    </row>
    <row r="129" spans="1:10">
      <c r="A129" s="58"/>
    </row>
    <row r="130" spans="1:10">
      <c r="A130" s="58"/>
    </row>
    <row r="131" spans="1:10">
      <c r="A131" s="58"/>
    </row>
    <row r="132" spans="1:10">
      <c r="A132" s="59"/>
      <c r="B132" s="60"/>
      <c r="C132" s="61"/>
      <c r="D132" s="61"/>
      <c r="E132" s="61"/>
      <c r="F132" s="61"/>
      <c r="G132" s="61"/>
      <c r="H132" s="61"/>
      <c r="I132" s="61"/>
      <c r="J132" s="80"/>
    </row>
  </sheetData>
  <autoFilter xmlns:etc="http://www.wps.cn/officeDocument/2017/etCustomData" ref="A2:J14" etc:filterBottomFollowUsedRange="0">
    <extLst/>
  </autoFilter>
  <pageMargins left="0.313888888888889" right="0.275" top="1" bottom="1" header="0.5" footer="0.5"/>
  <pageSetup paperSize="9" scale="70" orientation="landscape" horizontalDpi="600"/>
  <headerFooter>
    <oddFooter>&amp;C&amp;14&amp;B宾利 第 &amp;P 页，共 &amp;N 页</oddFooter>
  </headerFooter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indexed="29"/>
  </sheetPr>
  <dimension ref="A1:J131"/>
  <sheetViews>
    <sheetView workbookViewId="0">
      <pane xSplit="1" ySplit="2" topLeftCell="B4" activePane="bottomRight" state="frozen"/>
      <selection/>
      <selection pane="topRight"/>
      <selection pane="bottomLeft"/>
      <selection pane="bottomRight" activeCell="L12" sqref="L12"/>
    </sheetView>
  </sheetViews>
  <sheetFormatPr defaultColWidth="9" defaultRowHeight="13.5"/>
  <cols>
    <col min="1" max="1" width="24.625" style="63" customWidth="1"/>
    <col min="2" max="2" width="20.5" style="9" customWidth="1"/>
    <col min="3" max="3" width="10.9666666666667" style="10" customWidth="1"/>
    <col min="4" max="4" width="11.5" style="10" customWidth="1"/>
    <col min="5" max="5" width="9.55833333333333" style="10" customWidth="1"/>
    <col min="6" max="6" width="8.25833333333333" style="10" customWidth="1"/>
    <col min="7" max="7" width="12.1666666666667" style="10" customWidth="1"/>
    <col min="8" max="8" width="20" style="10" customWidth="1"/>
    <col min="9" max="9" width="21.125" style="10" customWidth="1"/>
    <col min="10" max="10" width="15.75" style="63" customWidth="1"/>
    <col min="11" max="16384" width="9" style="63"/>
  </cols>
  <sheetData>
    <row r="1" ht="93" customHeight="1"/>
    <row r="2" s="5" customFormat="1" ht="26" customHeight="1" spans="1:10">
      <c r="A2" s="16" t="s">
        <v>0</v>
      </c>
      <c r="B2" s="17" t="s">
        <v>1</v>
      </c>
      <c r="C2" s="17" t="s">
        <v>2</v>
      </c>
      <c r="D2" s="17" t="s">
        <v>3</v>
      </c>
      <c r="E2" s="17" t="s">
        <v>4</v>
      </c>
      <c r="F2" s="17" t="s">
        <v>5</v>
      </c>
      <c r="G2" s="17" t="s">
        <v>6</v>
      </c>
      <c r="H2" s="17" t="s">
        <v>7</v>
      </c>
      <c r="I2" s="17" t="s">
        <v>8</v>
      </c>
      <c r="J2" s="16" t="s">
        <v>9</v>
      </c>
    </row>
    <row r="3" s="7" customFormat="1" ht="30" customHeight="1" spans="1:10">
      <c r="A3" s="44"/>
      <c r="B3" s="64" t="s">
        <v>1997</v>
      </c>
      <c r="C3" s="65" t="s">
        <v>1998</v>
      </c>
      <c r="D3" s="20" t="s">
        <v>31</v>
      </c>
      <c r="E3" s="20" t="s">
        <v>13</v>
      </c>
      <c r="F3" s="20">
        <v>25</v>
      </c>
      <c r="G3" s="20">
        <v>72.56</v>
      </c>
      <c r="H3" s="20" t="s">
        <v>36</v>
      </c>
      <c r="I3" s="66" t="str">
        <f>VLOOKUP(H3,Sheet4!A:B,2,)</f>
        <v>Black Machine Face</v>
      </c>
      <c r="J3" s="42">
        <v>0</v>
      </c>
    </row>
    <row r="4" s="7" customFormat="1" ht="30" customHeight="1" spans="1:10">
      <c r="A4" s="44"/>
      <c r="B4" s="64" t="s">
        <v>1997</v>
      </c>
      <c r="C4" s="65" t="s">
        <v>1998</v>
      </c>
      <c r="D4" s="20" t="s">
        <v>556</v>
      </c>
      <c r="E4" s="20" t="s">
        <v>13</v>
      </c>
      <c r="F4" s="20">
        <v>30</v>
      </c>
      <c r="G4" s="20">
        <v>72.56</v>
      </c>
      <c r="H4" s="20" t="s">
        <v>36</v>
      </c>
      <c r="I4" s="66" t="str">
        <f>VLOOKUP(H4,Sheet4!A:B,2,)</f>
        <v>Black Machine Face</v>
      </c>
      <c r="J4" s="42">
        <v>0</v>
      </c>
    </row>
    <row r="5" s="7" customFormat="1" ht="30" customHeight="1" spans="1:10">
      <c r="A5" s="44"/>
      <c r="B5" s="64" t="s">
        <v>1999</v>
      </c>
      <c r="C5" s="65" t="s">
        <v>2000</v>
      </c>
      <c r="D5" s="20" t="s">
        <v>31</v>
      </c>
      <c r="E5" s="20" t="s">
        <v>208</v>
      </c>
      <c r="F5" s="20">
        <v>23</v>
      </c>
      <c r="G5" s="31">
        <v>66.56</v>
      </c>
      <c r="H5" s="20" t="s">
        <v>36</v>
      </c>
      <c r="I5" s="66" t="str">
        <f>VLOOKUP(H5,Sheet4!A:B,2,)</f>
        <v>Black Machine Face</v>
      </c>
      <c r="J5" s="42">
        <v>4</v>
      </c>
    </row>
    <row r="6" s="7" customFormat="1" ht="30" customHeight="1" spans="1:10">
      <c r="A6" s="46"/>
      <c r="B6" s="67" t="s">
        <v>1999</v>
      </c>
      <c r="C6" s="68" t="s">
        <v>2000</v>
      </c>
      <c r="D6" s="24" t="s">
        <v>556</v>
      </c>
      <c r="E6" s="24" t="s">
        <v>208</v>
      </c>
      <c r="F6" s="24">
        <v>35</v>
      </c>
      <c r="G6" s="35">
        <v>66.56</v>
      </c>
      <c r="H6" s="24" t="s">
        <v>36</v>
      </c>
      <c r="I6" s="69" t="str">
        <f>VLOOKUP(H6,Sheet4!A:B,2,)</f>
        <v>Black Machine Face</v>
      </c>
      <c r="J6" s="43">
        <v>4</v>
      </c>
    </row>
    <row r="7" s="63" customFormat="1" ht="54" customHeight="1" spans="1:10">
      <c r="A7" s="44"/>
      <c r="B7" s="64" t="s">
        <v>2001</v>
      </c>
      <c r="C7" s="65" t="s">
        <v>2002</v>
      </c>
      <c r="D7" s="20" t="s">
        <v>56</v>
      </c>
      <c r="E7" s="20" t="s">
        <v>208</v>
      </c>
      <c r="F7" s="20">
        <v>35</v>
      </c>
      <c r="G7" s="20">
        <v>66.56</v>
      </c>
      <c r="H7" s="20" t="s">
        <v>26</v>
      </c>
      <c r="I7" s="70" t="str">
        <f>VLOOKUP(H7,Sheet4!A:B,2,)</f>
        <v>Gloss Black Polisph Face</v>
      </c>
      <c r="J7" s="42">
        <f>2+2-2</f>
        <v>2</v>
      </c>
    </row>
    <row r="8" s="63" customFormat="1" ht="54" customHeight="1" spans="1:10">
      <c r="A8" s="46"/>
      <c r="B8" s="67" t="s">
        <v>2001</v>
      </c>
      <c r="C8" s="68" t="s">
        <v>2002</v>
      </c>
      <c r="D8" s="24" t="s">
        <v>343</v>
      </c>
      <c r="E8" s="24" t="s">
        <v>208</v>
      </c>
      <c r="F8" s="24">
        <v>35</v>
      </c>
      <c r="G8" s="24">
        <v>66.56</v>
      </c>
      <c r="H8" s="24" t="s">
        <v>26</v>
      </c>
      <c r="I8" s="71" t="str">
        <f>VLOOKUP(H8,Sheet4!A:B,2,)</f>
        <v>Gloss Black Polisph Face</v>
      </c>
      <c r="J8" s="43">
        <f>2-1+2-2</f>
        <v>1</v>
      </c>
    </row>
    <row r="9" s="63" customFormat="1" ht="54" customHeight="1" spans="1:10">
      <c r="A9" s="44"/>
      <c r="B9" s="64" t="s">
        <v>2003</v>
      </c>
      <c r="C9" s="65" t="s">
        <v>2002</v>
      </c>
      <c r="D9" s="20" t="s">
        <v>56</v>
      </c>
      <c r="E9" s="20" t="s">
        <v>208</v>
      </c>
      <c r="F9" s="20">
        <v>35</v>
      </c>
      <c r="G9" s="20">
        <v>66.56</v>
      </c>
      <c r="H9" s="20" t="s">
        <v>2004</v>
      </c>
      <c r="I9" s="70" t="e">
        <f>VLOOKUP(H9,Sheet4!A:B,2,)</f>
        <v>#N/A</v>
      </c>
      <c r="J9" s="42">
        <f>2+4-2+2-2-2-2</f>
        <v>0</v>
      </c>
    </row>
    <row r="10" s="63" customFormat="1" ht="54" customHeight="1" spans="1:10">
      <c r="A10" s="44"/>
      <c r="B10" s="64" t="s">
        <v>2003</v>
      </c>
      <c r="C10" s="65" t="s">
        <v>2002</v>
      </c>
      <c r="D10" s="20" t="s">
        <v>343</v>
      </c>
      <c r="E10" s="20" t="s">
        <v>208</v>
      </c>
      <c r="F10" s="20">
        <v>35</v>
      </c>
      <c r="G10" s="20">
        <v>66.56</v>
      </c>
      <c r="H10" s="20" t="s">
        <v>2004</v>
      </c>
      <c r="I10" s="70" t="e">
        <f>VLOOKUP(H10,Sheet4!A:B,2,)</f>
        <v>#N/A</v>
      </c>
      <c r="J10" s="42">
        <f>2+2+2-2+2-2-2-2</f>
        <v>0</v>
      </c>
    </row>
    <row r="11" ht="59" customHeight="1" spans="1:10">
      <c r="A11" s="52"/>
      <c r="B11" s="53" t="s">
        <v>2005</v>
      </c>
      <c r="C11" s="54" t="s">
        <v>2002</v>
      </c>
      <c r="D11" s="54" t="s">
        <v>56</v>
      </c>
      <c r="E11" s="54" t="s">
        <v>208</v>
      </c>
      <c r="F11" s="54">
        <v>35</v>
      </c>
      <c r="G11" s="54">
        <v>66.56</v>
      </c>
      <c r="H11" s="54" t="s">
        <v>21</v>
      </c>
      <c r="I11" s="72" t="str">
        <f>VLOOKUP(H11,Sheet4!A:B,2,)</f>
        <v>Black Machine Face</v>
      </c>
      <c r="J11" s="55">
        <f>2+2-2-2+2-2+2-2+2-2</f>
        <v>0</v>
      </c>
    </row>
    <row r="12" ht="59" customHeight="1" spans="1:10">
      <c r="A12" s="46"/>
      <c r="B12" s="23" t="s">
        <v>2005</v>
      </c>
      <c r="C12" s="24" t="s">
        <v>2002</v>
      </c>
      <c r="D12" s="24" t="s">
        <v>343</v>
      </c>
      <c r="E12" s="24" t="s">
        <v>208</v>
      </c>
      <c r="F12" s="24">
        <v>35</v>
      </c>
      <c r="G12" s="24">
        <v>66.56</v>
      </c>
      <c r="H12" s="24" t="s">
        <v>21</v>
      </c>
      <c r="I12" s="71" t="str">
        <f>VLOOKUP(H12,Sheet4!A:B,2,)</f>
        <v>Black Machine Face</v>
      </c>
      <c r="J12" s="43">
        <f>2+2-2-2+2-2+2-2+2-2</f>
        <v>0</v>
      </c>
    </row>
    <row r="13" s="63" customFormat="1" ht="59" customHeight="1" spans="1:10">
      <c r="A13" s="44"/>
      <c r="B13" s="19" t="s">
        <v>2006</v>
      </c>
      <c r="C13" s="20" t="s">
        <v>2007</v>
      </c>
      <c r="D13" s="20" t="s">
        <v>2008</v>
      </c>
      <c r="E13" s="20" t="s">
        <v>208</v>
      </c>
      <c r="F13" s="20">
        <v>25</v>
      </c>
      <c r="G13" s="20">
        <v>66.56</v>
      </c>
      <c r="H13" s="20" t="s">
        <v>1902</v>
      </c>
      <c r="I13" s="66" t="str">
        <f>VLOOKUP(H13,Sheet4!A:B,2,)</f>
        <v>WHITE</v>
      </c>
      <c r="J13" s="42">
        <f t="shared" ref="J11:J14" si="0">2+2-2-2+2</f>
        <v>2</v>
      </c>
    </row>
    <row r="14" ht="59" customHeight="1" spans="1:10">
      <c r="A14" s="73"/>
      <c r="B14" s="74" t="s">
        <v>2006</v>
      </c>
      <c r="C14" s="75" t="s">
        <v>2007</v>
      </c>
      <c r="D14" s="75" t="s">
        <v>2009</v>
      </c>
      <c r="E14" s="75" t="s">
        <v>208</v>
      </c>
      <c r="F14" s="75">
        <v>35</v>
      </c>
      <c r="G14" s="75">
        <v>66.56</v>
      </c>
      <c r="H14" s="75" t="s">
        <v>1902</v>
      </c>
      <c r="I14" s="76" t="str">
        <f>VLOOKUP(H14,Sheet4!A:B,2,)</f>
        <v>WHITE</v>
      </c>
      <c r="J14" s="77">
        <f t="shared" si="0"/>
        <v>2</v>
      </c>
    </row>
    <row r="15" spans="1:10">
      <c r="A15" s="78"/>
    </row>
    <row r="16" spans="1:10">
      <c r="A16" s="78"/>
    </row>
    <row r="17" spans="1:1">
      <c r="A17" s="78"/>
    </row>
    <row r="18" spans="1:1">
      <c r="A18" s="78"/>
    </row>
    <row r="19" spans="1:1">
      <c r="A19" s="78"/>
    </row>
    <row r="20" spans="1:1">
      <c r="A20" s="78"/>
    </row>
    <row r="21" spans="1:1">
      <c r="A21" s="78"/>
    </row>
    <row r="22" spans="1:1">
      <c r="A22" s="78"/>
    </row>
    <row r="23" spans="1:1">
      <c r="A23" s="78"/>
    </row>
    <row r="24" spans="1:1">
      <c r="A24" s="78"/>
    </row>
    <row r="25" spans="1:1">
      <c r="A25" s="78"/>
    </row>
    <row r="26" spans="1:1">
      <c r="A26" s="78"/>
    </row>
    <row r="27" spans="1:1">
      <c r="A27" s="78"/>
    </row>
    <row r="28" spans="1:1">
      <c r="A28" s="78"/>
    </row>
    <row r="29" spans="1:1">
      <c r="A29" s="78"/>
    </row>
    <row r="30" spans="1:1">
      <c r="A30" s="78"/>
    </row>
    <row r="31" spans="1:1">
      <c r="A31" s="78"/>
    </row>
    <row r="32" spans="1:1">
      <c r="A32" s="78"/>
    </row>
    <row r="33" spans="1:1">
      <c r="A33" s="78"/>
    </row>
    <row r="34" spans="1:1">
      <c r="A34" s="78"/>
    </row>
    <row r="35" spans="1:1">
      <c r="A35" s="78"/>
    </row>
    <row r="36" spans="1:1">
      <c r="A36" s="78"/>
    </row>
    <row r="37" spans="1:1">
      <c r="A37" s="78"/>
    </row>
    <row r="38" spans="1:1">
      <c r="A38" s="78"/>
    </row>
    <row r="39" spans="1:1">
      <c r="A39" s="78"/>
    </row>
    <row r="40" spans="1:1">
      <c r="A40" s="78"/>
    </row>
    <row r="41" spans="1:1">
      <c r="A41" s="78"/>
    </row>
    <row r="42" spans="1:1">
      <c r="A42" s="78"/>
    </row>
    <row r="43" spans="1:1">
      <c r="A43" s="78"/>
    </row>
    <row r="44" spans="1:1">
      <c r="A44" s="78"/>
    </row>
    <row r="45" spans="1:1">
      <c r="A45" s="78"/>
    </row>
    <row r="46" spans="1:1">
      <c r="A46" s="78"/>
    </row>
    <row r="47" spans="1:1">
      <c r="A47" s="78"/>
    </row>
    <row r="48" spans="1:1">
      <c r="A48" s="78"/>
    </row>
    <row r="49" spans="1:1">
      <c r="A49" s="78"/>
    </row>
    <row r="50" spans="1:1">
      <c r="A50" s="78"/>
    </row>
    <row r="51" spans="1:1">
      <c r="A51" s="78"/>
    </row>
    <row r="52" spans="1:1">
      <c r="A52" s="78"/>
    </row>
    <row r="53" spans="1:1">
      <c r="A53" s="78"/>
    </row>
    <row r="54" spans="1:1">
      <c r="A54" s="78"/>
    </row>
    <row r="55" spans="1:1">
      <c r="A55" s="78"/>
    </row>
    <row r="56" spans="1:1">
      <c r="A56" s="78"/>
    </row>
    <row r="57" spans="1:1">
      <c r="A57" s="78"/>
    </row>
    <row r="58" spans="1:1">
      <c r="A58" s="78"/>
    </row>
    <row r="59" spans="1:1">
      <c r="A59" s="78"/>
    </row>
    <row r="60" spans="1:1">
      <c r="A60" s="78"/>
    </row>
    <row r="61" spans="1:1">
      <c r="A61" s="78"/>
    </row>
    <row r="62" spans="1:1">
      <c r="A62" s="78"/>
    </row>
    <row r="63" spans="1:1">
      <c r="A63" s="78"/>
    </row>
    <row r="64" spans="1:1">
      <c r="A64" s="78"/>
    </row>
    <row r="65" spans="1:1">
      <c r="A65" s="78"/>
    </row>
    <row r="66" spans="1:1">
      <c r="A66" s="78"/>
    </row>
    <row r="67" spans="1:1">
      <c r="A67" s="78"/>
    </row>
    <row r="68" spans="1:1">
      <c r="A68" s="78"/>
    </row>
    <row r="69" spans="1:1">
      <c r="A69" s="78"/>
    </row>
    <row r="70" spans="1:1">
      <c r="A70" s="78"/>
    </row>
    <row r="71" spans="1:1">
      <c r="A71" s="78"/>
    </row>
    <row r="72" spans="1:1">
      <c r="A72" s="78"/>
    </row>
    <row r="73" spans="1:1">
      <c r="A73" s="78"/>
    </row>
    <row r="74" spans="1:1">
      <c r="A74" s="78"/>
    </row>
    <row r="75" spans="1:1">
      <c r="A75" s="78"/>
    </row>
    <row r="76" spans="1:1">
      <c r="A76" s="78"/>
    </row>
    <row r="77" spans="1:1">
      <c r="A77" s="78"/>
    </row>
    <row r="78" spans="1:1">
      <c r="A78" s="78"/>
    </row>
    <row r="79" spans="1:1">
      <c r="A79" s="78"/>
    </row>
    <row r="80" spans="1:1">
      <c r="A80" s="78"/>
    </row>
    <row r="81" spans="1:1">
      <c r="A81" s="78"/>
    </row>
    <row r="82" spans="1:1">
      <c r="A82" s="78"/>
    </row>
    <row r="83" spans="1:1">
      <c r="A83" s="78"/>
    </row>
    <row r="84" spans="1:1">
      <c r="A84" s="78"/>
    </row>
    <row r="85" spans="1:1">
      <c r="A85" s="78"/>
    </row>
    <row r="86" spans="1:1">
      <c r="A86" s="78"/>
    </row>
    <row r="87" spans="1:1">
      <c r="A87" s="78"/>
    </row>
    <row r="88" spans="1:1">
      <c r="A88" s="78"/>
    </row>
    <row r="89" spans="1:1">
      <c r="A89" s="78"/>
    </row>
    <row r="90" spans="1:1">
      <c r="A90" s="78"/>
    </row>
    <row r="91" spans="1:1">
      <c r="A91" s="78"/>
    </row>
    <row r="92" spans="1:1">
      <c r="A92" s="78"/>
    </row>
    <row r="93" spans="1:1">
      <c r="A93" s="78"/>
    </row>
    <row r="94" spans="1:1">
      <c r="A94" s="78"/>
    </row>
    <row r="95" spans="1:1">
      <c r="A95" s="78"/>
    </row>
    <row r="96" spans="1:1">
      <c r="A96" s="78"/>
    </row>
    <row r="97" spans="1:1">
      <c r="A97" s="78"/>
    </row>
    <row r="98" spans="1:1">
      <c r="A98" s="78"/>
    </row>
    <row r="99" spans="1:1">
      <c r="A99" s="78"/>
    </row>
    <row r="100" spans="1:1">
      <c r="A100" s="78"/>
    </row>
    <row r="101" spans="1:1">
      <c r="A101" s="78"/>
    </row>
    <row r="102" spans="1:1">
      <c r="A102" s="78"/>
    </row>
    <row r="103" spans="1:1">
      <c r="A103" s="78"/>
    </row>
    <row r="104" spans="1:1">
      <c r="A104" s="78"/>
    </row>
    <row r="105" spans="1:1">
      <c r="A105" s="78"/>
    </row>
    <row r="106" spans="1:1">
      <c r="A106" s="78"/>
    </row>
    <row r="107" spans="1:1">
      <c r="A107" s="78"/>
    </row>
    <row r="108" spans="1:1">
      <c r="A108" s="78"/>
    </row>
    <row r="109" spans="1:1">
      <c r="A109" s="78"/>
    </row>
    <row r="110" spans="1:1">
      <c r="A110" s="78"/>
    </row>
    <row r="111" spans="1:1">
      <c r="A111" s="78"/>
    </row>
    <row r="112" spans="1:1">
      <c r="A112" s="78"/>
    </row>
    <row r="113" spans="1:1">
      <c r="A113" s="78"/>
    </row>
    <row r="114" spans="1:1">
      <c r="A114" s="78"/>
    </row>
    <row r="115" spans="1:1">
      <c r="A115" s="78"/>
    </row>
    <row r="116" spans="1:1">
      <c r="A116" s="78"/>
    </row>
    <row r="117" spans="1:1">
      <c r="A117" s="78"/>
    </row>
    <row r="118" spans="1:1">
      <c r="A118" s="78"/>
    </row>
    <row r="119" spans="1:1">
      <c r="A119" s="78"/>
    </row>
    <row r="120" spans="1:1">
      <c r="A120" s="78"/>
    </row>
    <row r="121" spans="1:1">
      <c r="A121" s="78"/>
    </row>
    <row r="122" spans="1:1">
      <c r="A122" s="78"/>
    </row>
    <row r="123" spans="1:1">
      <c r="A123" s="78"/>
    </row>
    <row r="124" spans="1:1">
      <c r="A124" s="78"/>
    </row>
    <row r="125" spans="1:1">
      <c r="A125" s="78"/>
    </row>
    <row r="126" spans="1:1">
      <c r="A126" s="78"/>
    </row>
    <row r="127" spans="1:1">
      <c r="A127" s="78"/>
    </row>
    <row r="128" spans="1:1">
      <c r="A128" s="78"/>
    </row>
    <row r="129" spans="1:10">
      <c r="A129" s="78"/>
    </row>
    <row r="130" spans="1:10">
      <c r="A130" s="78"/>
    </row>
    <row r="131" spans="1:10">
      <c r="A131" s="79"/>
      <c r="B131" s="60"/>
      <c r="C131" s="61"/>
      <c r="D131" s="61"/>
      <c r="E131" s="61"/>
      <c r="F131" s="61"/>
      <c r="G131" s="61"/>
      <c r="H131" s="61"/>
      <c r="I131" s="61"/>
      <c r="J131" s="80"/>
    </row>
  </sheetData>
  <autoFilter xmlns:etc="http://www.wps.cn/officeDocument/2017/etCustomData" ref="A2:J14" etc:filterBottomFollowUsedRange="0">
    <extLst/>
  </autoFilter>
  <pageMargins left="0.275" right="0.196527777777778" top="1" bottom="1" header="0.5" footer="0.5"/>
  <pageSetup paperSize="9" scale="70" orientation="landscape" horizontalDpi="600"/>
  <headerFooter>
    <oddFooter>&amp;C&amp;14&amp;B劳斯莱斯  第 &amp;P 页，共 &amp;N 页</oddFooter>
  </headerFooter>
  <ignoredErrors>
    <ignoredError sqref="I9:I10" evalError="1"/>
  </ignoredErrors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indexed="13"/>
  </sheetPr>
  <dimension ref="A1:J150"/>
  <sheetViews>
    <sheetView zoomScale="115" zoomScaleNormal="115" workbookViewId="0">
      <pane xSplit="1" ySplit="2" topLeftCell="B3" activePane="bottomRight" state="frozen"/>
      <selection/>
      <selection pane="topRight"/>
      <selection pane="bottomLeft"/>
      <selection pane="bottomRight" activeCell="K9" sqref="K9"/>
    </sheetView>
  </sheetViews>
  <sheetFormatPr defaultColWidth="9" defaultRowHeight="13.5"/>
  <cols>
    <col min="1" max="1" width="23" style="8" customWidth="1"/>
    <col min="2" max="2" width="18.75" style="9" customWidth="1"/>
    <col min="3" max="3" width="14.125" style="10" customWidth="1"/>
    <col min="4" max="4" width="10.4333333333333" style="10" customWidth="1"/>
    <col min="5" max="5" width="10.2083333333333" style="10" customWidth="1"/>
    <col min="6" max="6" width="9" style="10"/>
    <col min="7" max="7" width="12" style="10" customWidth="1"/>
    <col min="8" max="8" width="16.875" style="10" customWidth="1"/>
    <col min="9" max="9" width="19.5583333333333" style="10" customWidth="1"/>
    <col min="10" max="10" width="14.875" style="11" customWidth="1"/>
    <col min="11" max="16384" width="9" style="8"/>
  </cols>
  <sheetData>
    <row r="1" s="5" customFormat="1" ht="87" customHeight="1" spans="1:10">
      <c r="A1" s="12"/>
      <c r="B1" s="13"/>
      <c r="C1" s="14"/>
      <c r="D1" s="14"/>
      <c r="E1" s="14"/>
      <c r="F1" s="14"/>
      <c r="G1" s="14"/>
      <c r="H1" s="14"/>
      <c r="I1" s="14"/>
      <c r="J1" s="15"/>
    </row>
    <row r="2" s="5" customFormat="1" ht="26" customHeight="1" spans="1:10">
      <c r="A2" s="16" t="s">
        <v>0</v>
      </c>
      <c r="B2" s="17" t="s">
        <v>1</v>
      </c>
      <c r="C2" s="17" t="s">
        <v>2</v>
      </c>
      <c r="D2" s="17" t="s">
        <v>3</v>
      </c>
      <c r="E2" s="17" t="s">
        <v>4</v>
      </c>
      <c r="F2" s="17" t="s">
        <v>5</v>
      </c>
      <c r="G2" s="17" t="s">
        <v>6</v>
      </c>
      <c r="H2" s="17" t="s">
        <v>7</v>
      </c>
      <c r="I2" s="17" t="s">
        <v>8</v>
      </c>
      <c r="J2" s="16" t="s">
        <v>9</v>
      </c>
    </row>
    <row r="3" s="6" customFormat="1" ht="54" customHeight="1" spans="1:10">
      <c r="A3" s="18"/>
      <c r="B3" s="19" t="s">
        <v>2010</v>
      </c>
      <c r="C3" s="20" t="s">
        <v>2011</v>
      </c>
      <c r="D3" s="20" t="s">
        <v>19</v>
      </c>
      <c r="E3" s="20" t="s">
        <v>20</v>
      </c>
      <c r="F3" s="20">
        <v>20</v>
      </c>
      <c r="G3" s="20">
        <v>60.1</v>
      </c>
      <c r="H3" s="20" t="s">
        <v>16</v>
      </c>
      <c r="I3" s="20" t="s">
        <v>527</v>
      </c>
      <c r="J3" s="21">
        <f>12-4+8-8+8+8-4-4-4-4+24-4-4-4-1-16</f>
        <v>3</v>
      </c>
    </row>
    <row r="4" s="6" customFormat="1" ht="54" customHeight="1" spans="1:10">
      <c r="A4" s="22"/>
      <c r="B4" s="23" t="s">
        <v>2012</v>
      </c>
      <c r="C4" s="24" t="s">
        <v>2011</v>
      </c>
      <c r="D4" s="24" t="s">
        <v>19</v>
      </c>
      <c r="E4" s="24" t="s">
        <v>20</v>
      </c>
      <c r="F4" s="24">
        <v>20</v>
      </c>
      <c r="G4" s="24">
        <v>60.1</v>
      </c>
      <c r="H4" s="24" t="s">
        <v>159</v>
      </c>
      <c r="I4" s="24" t="str">
        <f>VLOOKUP(H4,Sheet4!A:B,2,)</f>
        <v>MATTE BLACK</v>
      </c>
      <c r="J4" s="25">
        <f>8+12-4-8-4</f>
        <v>4</v>
      </c>
    </row>
    <row r="5" s="6" customFormat="1" ht="99" customHeight="1" spans="1:10">
      <c r="A5" s="18"/>
      <c r="B5" s="19" t="s">
        <v>2013</v>
      </c>
      <c r="C5" s="20" t="s">
        <v>2011</v>
      </c>
      <c r="D5" s="20" t="s">
        <v>19</v>
      </c>
      <c r="E5" s="20" t="s">
        <v>20</v>
      </c>
      <c r="F5" s="20">
        <v>0</v>
      </c>
      <c r="G5" s="20">
        <v>60.1</v>
      </c>
      <c r="H5" s="20" t="s">
        <v>2014</v>
      </c>
      <c r="I5" s="20" t="e">
        <f>VLOOKUP(H5,Sheet4!A:B,2,)</f>
        <v>#N/A</v>
      </c>
      <c r="J5" s="21">
        <f>5-4+4</f>
        <v>5</v>
      </c>
    </row>
    <row r="6" s="6" customFormat="1" ht="33" customHeight="1" spans="1:10">
      <c r="A6" s="26"/>
      <c r="B6" s="27" t="s">
        <v>2015</v>
      </c>
      <c r="C6" s="28" t="s">
        <v>2011</v>
      </c>
      <c r="D6" s="28" t="s">
        <v>23</v>
      </c>
      <c r="E6" s="28" t="s">
        <v>20</v>
      </c>
      <c r="F6" s="28">
        <v>20</v>
      </c>
      <c r="G6" s="28">
        <v>60.1</v>
      </c>
      <c r="H6" s="28" t="s">
        <v>159</v>
      </c>
      <c r="I6" s="28" t="s">
        <v>484</v>
      </c>
      <c r="J6" s="29">
        <f>5+15-4-4-4</f>
        <v>8</v>
      </c>
    </row>
    <row r="7" s="6" customFormat="1" ht="33" customHeight="1" spans="1:10">
      <c r="A7" s="18"/>
      <c r="B7" s="30" t="s">
        <v>2016</v>
      </c>
      <c r="C7" s="20" t="s">
        <v>2011</v>
      </c>
      <c r="D7" s="20" t="s">
        <v>19</v>
      </c>
      <c r="E7" s="20" t="s">
        <v>20</v>
      </c>
      <c r="F7" s="31">
        <v>0</v>
      </c>
      <c r="G7" s="20">
        <v>60.1</v>
      </c>
      <c r="H7" s="20" t="s">
        <v>159</v>
      </c>
      <c r="I7" s="20" t="str">
        <f>VLOOKUP(H7,Sheet4!A:B,2,)</f>
        <v>MATTE BLACK</v>
      </c>
      <c r="J7" s="21">
        <f>9-9+4+8-5-5+6-5+5-7+7-4-4+8-4+4-4+5-4</f>
        <v>5</v>
      </c>
    </row>
    <row r="8" s="6" customFormat="1" ht="33" customHeight="1" spans="1:10">
      <c r="A8" s="22"/>
      <c r="B8" s="23" t="s">
        <v>2017</v>
      </c>
      <c r="C8" s="24" t="s">
        <v>2011</v>
      </c>
      <c r="D8" s="24" t="s">
        <v>19</v>
      </c>
      <c r="E8" s="24" t="s">
        <v>20</v>
      </c>
      <c r="F8" s="32">
        <v>20</v>
      </c>
      <c r="G8" s="24">
        <v>60.1</v>
      </c>
      <c r="H8" s="24" t="s">
        <v>159</v>
      </c>
      <c r="I8" s="24" t="str">
        <f>VLOOKUP(H8,Sheet4!A:B,2,)</f>
        <v>MATTE BLACK</v>
      </c>
      <c r="J8" s="25">
        <f>12-4-5</f>
        <v>3</v>
      </c>
    </row>
    <row r="9" s="7" customFormat="1" ht="49" customHeight="1" spans="1:10">
      <c r="A9" s="33"/>
      <c r="B9" s="19" t="s">
        <v>2018</v>
      </c>
      <c r="C9" s="20" t="s">
        <v>2019</v>
      </c>
      <c r="D9" s="20" t="s">
        <v>58</v>
      </c>
      <c r="E9" s="20" t="s">
        <v>52</v>
      </c>
      <c r="F9" s="20">
        <v>18</v>
      </c>
      <c r="G9" s="19">
        <v>100.1</v>
      </c>
      <c r="H9" s="19" t="s">
        <v>1449</v>
      </c>
      <c r="I9" s="19" t="str">
        <f>VLOOKUP(H9,Sheet4!A:B,2,)</f>
        <v>MATTE GREY</v>
      </c>
      <c r="J9" s="21">
        <f>8-4-4</f>
        <v>0</v>
      </c>
    </row>
    <row r="10" s="7" customFormat="1" ht="49" customHeight="1" spans="1:10">
      <c r="A10" s="34"/>
      <c r="B10" s="23" t="s">
        <v>2020</v>
      </c>
      <c r="C10" s="24" t="s">
        <v>2019</v>
      </c>
      <c r="D10" s="24" t="s">
        <v>58</v>
      </c>
      <c r="E10" s="24" t="s">
        <v>52</v>
      </c>
      <c r="F10" s="24">
        <v>18</v>
      </c>
      <c r="G10" s="23">
        <v>64.1</v>
      </c>
      <c r="H10" s="35" t="s">
        <v>288</v>
      </c>
      <c r="I10" s="23" t="str">
        <f>VLOOKUP(H10,Sheet4!A:B,2,)</f>
        <v>matte bronze</v>
      </c>
      <c r="J10" s="25">
        <f>8</f>
        <v>8</v>
      </c>
    </row>
    <row r="11" s="7" customFormat="1" ht="92" customHeight="1" spans="1:10">
      <c r="A11" s="34"/>
      <c r="B11" s="23" t="s">
        <v>2021</v>
      </c>
      <c r="C11" s="24" t="s">
        <v>2019</v>
      </c>
      <c r="D11" s="24" t="s">
        <v>58</v>
      </c>
      <c r="E11" s="24" t="s">
        <v>52</v>
      </c>
      <c r="F11" s="24">
        <v>18</v>
      </c>
      <c r="G11" s="23">
        <v>64.1</v>
      </c>
      <c r="H11" s="23" t="s">
        <v>288</v>
      </c>
      <c r="I11" s="23" t="str">
        <f>VLOOKUP(H11,Sheet4!A:B,2,)</f>
        <v>matte bronze</v>
      </c>
      <c r="J11" s="25">
        <f>8-4-4+4-4+12</f>
        <v>12</v>
      </c>
    </row>
    <row r="12" s="7" customFormat="1" ht="92" customHeight="1" spans="1:10">
      <c r="A12" s="34"/>
      <c r="B12" s="23" t="s">
        <v>2022</v>
      </c>
      <c r="C12" s="24" t="s">
        <v>2019</v>
      </c>
      <c r="D12" s="24" t="s">
        <v>58</v>
      </c>
      <c r="E12" s="24" t="s">
        <v>52</v>
      </c>
      <c r="F12" s="24">
        <v>12</v>
      </c>
      <c r="G12" s="23">
        <v>64.1</v>
      </c>
      <c r="H12" s="36" t="s">
        <v>2023</v>
      </c>
      <c r="I12" s="23" t="str">
        <f>VLOOKUP(H12,Sheet4!A:B,2,)</f>
        <v>MATTE BLACK</v>
      </c>
      <c r="J12" s="25">
        <f>4+4-4-4</f>
        <v>0</v>
      </c>
    </row>
    <row r="13" s="7" customFormat="1" ht="95" customHeight="1" spans="1:10">
      <c r="A13" s="33"/>
      <c r="B13" s="19" t="s">
        <v>2024</v>
      </c>
      <c r="C13" s="20" t="s">
        <v>2025</v>
      </c>
      <c r="D13" s="20" t="s">
        <v>2026</v>
      </c>
      <c r="E13" s="20" t="s">
        <v>2027</v>
      </c>
      <c r="F13" s="20">
        <v>0</v>
      </c>
      <c r="G13" s="19">
        <v>71.5</v>
      </c>
      <c r="H13" s="19" t="s">
        <v>159</v>
      </c>
      <c r="I13" s="19" t="str">
        <f>VLOOKUP(H13,Sheet4!A:B,2,)</f>
        <v>MATTE BLACK</v>
      </c>
      <c r="J13" s="21">
        <v>0</v>
      </c>
    </row>
    <row r="14" s="7" customFormat="1" ht="92" customHeight="1" spans="1:10">
      <c r="A14" s="37"/>
      <c r="B14" s="38" t="s">
        <v>2028</v>
      </c>
      <c r="C14" s="39" t="s">
        <v>2025</v>
      </c>
      <c r="D14" s="39" t="s">
        <v>2026</v>
      </c>
      <c r="E14" s="39" t="s">
        <v>2027</v>
      </c>
      <c r="F14" s="39">
        <v>0</v>
      </c>
      <c r="G14" s="38">
        <v>71.5</v>
      </c>
      <c r="H14" s="38" t="s">
        <v>2029</v>
      </c>
      <c r="I14" s="38" t="e">
        <f>VLOOKUP(H14,Sheet4!A:B,2,)</f>
        <v>#N/A</v>
      </c>
      <c r="J14" s="40">
        <f>8-4</f>
        <v>4</v>
      </c>
    </row>
    <row r="15" s="7" customFormat="1" ht="56" customHeight="1" spans="1:10">
      <c r="A15" s="33"/>
      <c r="B15" s="19" t="s">
        <v>2030</v>
      </c>
      <c r="C15" s="20" t="s">
        <v>2031</v>
      </c>
      <c r="D15" s="20" t="s">
        <v>2032</v>
      </c>
      <c r="E15" s="20" t="s">
        <v>52</v>
      </c>
      <c r="F15" s="20">
        <v>0</v>
      </c>
      <c r="G15" s="20">
        <v>100.1</v>
      </c>
      <c r="H15" s="41" t="s">
        <v>2033</v>
      </c>
      <c r="I15" s="20" t="e">
        <f>VLOOKUP(H15,Sheet4!A:B,2,)</f>
        <v>#N/A</v>
      </c>
      <c r="J15" s="42">
        <f>1+7</f>
        <v>8</v>
      </c>
    </row>
    <row r="16" s="7" customFormat="1" ht="56" customHeight="1" spans="1:10">
      <c r="A16" s="34"/>
      <c r="B16" s="23" t="s">
        <v>2034</v>
      </c>
      <c r="C16" s="24" t="s">
        <v>2031</v>
      </c>
      <c r="D16" s="24" t="s">
        <v>2032</v>
      </c>
      <c r="E16" s="24" t="s">
        <v>52</v>
      </c>
      <c r="F16" s="24">
        <v>0</v>
      </c>
      <c r="G16" s="24">
        <v>100.1</v>
      </c>
      <c r="H16" s="24" t="s">
        <v>102</v>
      </c>
      <c r="I16" s="24" t="str">
        <f>VLOOKUP(H16,Sheet4!A:B,2,)</f>
        <v>MATTE BLACK</v>
      </c>
      <c r="J16" s="43">
        <f>6+2-4-4+12</f>
        <v>12</v>
      </c>
    </row>
    <row r="17" s="6" customFormat="1" ht="57" customHeight="1" spans="1:10">
      <c r="A17" s="44"/>
      <c r="B17" s="19" t="s">
        <v>2035</v>
      </c>
      <c r="C17" s="20" t="s">
        <v>2031</v>
      </c>
      <c r="D17" s="20" t="s">
        <v>2032</v>
      </c>
      <c r="E17" s="20" t="s">
        <v>52</v>
      </c>
      <c r="F17" s="20">
        <v>0</v>
      </c>
      <c r="G17" s="20">
        <v>100.1</v>
      </c>
      <c r="H17" s="20" t="s">
        <v>317</v>
      </c>
      <c r="I17" s="20" t="str">
        <f>VLOOKUP(H17,Sheet4!A:B,2,)</f>
        <v>MATTE GREY</v>
      </c>
      <c r="J17" s="42">
        <f>5-4+12-4</f>
        <v>9</v>
      </c>
    </row>
    <row r="18" s="7" customFormat="1" ht="57" customHeight="1" spans="1:10">
      <c r="A18" s="34"/>
      <c r="B18" s="23" t="s">
        <v>2036</v>
      </c>
      <c r="C18" s="24" t="s">
        <v>2031</v>
      </c>
      <c r="D18" s="24" t="s">
        <v>2032</v>
      </c>
      <c r="E18" s="24" t="s">
        <v>52</v>
      </c>
      <c r="F18" s="24">
        <v>0</v>
      </c>
      <c r="G18" s="24">
        <v>100.1</v>
      </c>
      <c r="H18" s="24" t="s">
        <v>102</v>
      </c>
      <c r="I18" s="24" t="str">
        <f>VLOOKUP(H18,Sheet4!A:B,2,)</f>
        <v>MATTE BLACK</v>
      </c>
      <c r="J18" s="43">
        <f>10+10-4-4-4-8+12-2-4-4</f>
        <v>2</v>
      </c>
    </row>
    <row r="19" s="7" customFormat="1" ht="113" customHeight="1" spans="1:10">
      <c r="A19" s="37"/>
      <c r="B19" s="38" t="s">
        <v>2037</v>
      </c>
      <c r="C19" s="39" t="s">
        <v>2031</v>
      </c>
      <c r="D19" s="39" t="s">
        <v>2032</v>
      </c>
      <c r="E19" s="39" t="s">
        <v>52</v>
      </c>
      <c r="F19" s="39">
        <v>0</v>
      </c>
      <c r="G19" s="39">
        <v>100.1</v>
      </c>
      <c r="H19" s="39" t="s">
        <v>1902</v>
      </c>
      <c r="I19" s="39" t="str">
        <f>VLOOKUP(H19,Sheet4!A:B,2,)</f>
        <v>WHITE</v>
      </c>
      <c r="J19" s="45">
        <f>4-4+1+3</f>
        <v>4</v>
      </c>
    </row>
    <row r="20" s="6" customFormat="1" ht="117" customHeight="1" spans="1:10">
      <c r="A20" s="46"/>
      <c r="B20" s="23" t="s">
        <v>2038</v>
      </c>
      <c r="C20" s="24" t="s">
        <v>2031</v>
      </c>
      <c r="D20" s="24" t="s">
        <v>2032</v>
      </c>
      <c r="E20" s="24" t="s">
        <v>52</v>
      </c>
      <c r="F20" s="24">
        <v>0</v>
      </c>
      <c r="G20" s="24">
        <v>100.1</v>
      </c>
      <c r="H20" s="24" t="s">
        <v>718</v>
      </c>
      <c r="I20" s="24" t="str">
        <f>VLOOKUP(H20,Sheet4!A:B,2,)</f>
        <v>hyper silver</v>
      </c>
      <c r="J20" s="43">
        <f>4</f>
        <v>4</v>
      </c>
    </row>
    <row r="21" s="7" customFormat="1" ht="118" customHeight="1" spans="1:10">
      <c r="A21" s="34"/>
      <c r="B21" s="23" t="s">
        <v>2039</v>
      </c>
      <c r="C21" s="24" t="s">
        <v>2031</v>
      </c>
      <c r="D21" s="24" t="s">
        <v>2032</v>
      </c>
      <c r="E21" s="24" t="s">
        <v>52</v>
      </c>
      <c r="F21" s="24">
        <v>0</v>
      </c>
      <c r="G21" s="23">
        <v>100.1</v>
      </c>
      <c r="H21" s="47" t="s">
        <v>2040</v>
      </c>
      <c r="I21" s="24" t="e">
        <f>VLOOKUP(H21,Sheet4!A:B,2,)</f>
        <v>#N/A</v>
      </c>
      <c r="J21" s="43">
        <f>5+5-4+2-4-4+9</f>
        <v>9</v>
      </c>
    </row>
    <row r="22" s="6" customFormat="1" ht="118" customHeight="1" spans="1:10">
      <c r="A22" s="48"/>
      <c r="B22" s="49" t="s">
        <v>2041</v>
      </c>
      <c r="C22" s="50" t="s">
        <v>2031</v>
      </c>
      <c r="D22" s="50" t="s">
        <v>2032</v>
      </c>
      <c r="E22" s="50" t="s">
        <v>52</v>
      </c>
      <c r="F22" s="50">
        <v>0</v>
      </c>
      <c r="G22" s="50">
        <v>100.1</v>
      </c>
      <c r="H22" s="50" t="s">
        <v>159</v>
      </c>
      <c r="I22" s="50" t="str">
        <f>VLOOKUP(H22,Sheet4!A:B,2,)</f>
        <v>MATTE BLACK</v>
      </c>
      <c r="J22" s="51">
        <f>16-1-4</f>
        <v>11</v>
      </c>
    </row>
    <row r="23" s="6" customFormat="1" ht="65" customHeight="1" spans="1:10">
      <c r="A23" s="18"/>
      <c r="B23" s="19" t="s">
        <v>2042</v>
      </c>
      <c r="C23" s="20" t="s">
        <v>2031</v>
      </c>
      <c r="D23" s="20" t="s">
        <v>2032</v>
      </c>
      <c r="E23" s="20" t="s">
        <v>52</v>
      </c>
      <c r="F23" s="20">
        <v>0</v>
      </c>
      <c r="G23" s="20">
        <v>100.1</v>
      </c>
      <c r="H23" s="20" t="s">
        <v>637</v>
      </c>
      <c r="I23" s="20" t="str">
        <f>VLOOKUP(H23,Sheet4!A:B,2,)</f>
        <v>MATTE Black LIP</v>
      </c>
      <c r="J23" s="42">
        <f>5-4+9-4-4+4-1-1+12-4-4</f>
        <v>8</v>
      </c>
    </row>
    <row r="24" s="6" customFormat="1" ht="65" customHeight="1" spans="1:10">
      <c r="A24" s="44"/>
      <c r="B24" s="19" t="s">
        <v>2043</v>
      </c>
      <c r="C24" s="20" t="s">
        <v>2031</v>
      </c>
      <c r="D24" s="20" t="s">
        <v>2032</v>
      </c>
      <c r="E24" s="20" t="s">
        <v>52</v>
      </c>
      <c r="F24" s="20">
        <v>0</v>
      </c>
      <c r="G24" s="20">
        <v>100.1</v>
      </c>
      <c r="H24" s="20" t="s">
        <v>102</v>
      </c>
      <c r="I24" s="20" t="str">
        <f>VLOOKUP(H24,Sheet4!A:B,2,)</f>
        <v>MATTE BLACK</v>
      </c>
      <c r="J24" s="42">
        <f>1+1+8-4-4+12-2+3</f>
        <v>15</v>
      </c>
    </row>
    <row r="25" s="6" customFormat="1" ht="63" customHeight="1" spans="1:10">
      <c r="A25" s="52"/>
      <c r="B25" s="53" t="s">
        <v>2044</v>
      </c>
      <c r="C25" s="54" t="s">
        <v>2031</v>
      </c>
      <c r="D25" s="54" t="s">
        <v>2032</v>
      </c>
      <c r="E25" s="54" t="s">
        <v>52</v>
      </c>
      <c r="F25" s="54">
        <v>0</v>
      </c>
      <c r="G25" s="54">
        <v>100.1</v>
      </c>
      <c r="H25" s="54" t="s">
        <v>102</v>
      </c>
      <c r="I25" s="54" t="str">
        <f>VLOOKUP(H25,Sheet4!A:B,2,)</f>
        <v>MATTE BLACK</v>
      </c>
      <c r="J25" s="55">
        <f>7-4+3-5+12</f>
        <v>13</v>
      </c>
    </row>
    <row r="26" s="6" customFormat="1" ht="63" customHeight="1" spans="1:10">
      <c r="A26" s="22"/>
      <c r="B26" s="23" t="s">
        <v>2045</v>
      </c>
      <c r="C26" s="24" t="s">
        <v>2031</v>
      </c>
      <c r="D26" s="24" t="s">
        <v>2032</v>
      </c>
      <c r="E26" s="24" t="s">
        <v>52</v>
      </c>
      <c r="F26" s="24">
        <v>0</v>
      </c>
      <c r="G26" s="24">
        <v>100.1</v>
      </c>
      <c r="H26" s="24" t="s">
        <v>637</v>
      </c>
      <c r="I26" s="24" t="str">
        <f>VLOOKUP(H26,Sheet4!A:B,2,)</f>
        <v>MATTE Black LIP</v>
      </c>
      <c r="J26" s="43">
        <f>8-4-1+10-5-4</f>
        <v>4</v>
      </c>
    </row>
    <row r="27" s="6" customFormat="1" ht="114" customHeight="1" spans="1:10">
      <c r="A27" s="18"/>
      <c r="B27" s="23" t="s">
        <v>2046</v>
      </c>
      <c r="C27" s="24" t="s">
        <v>2031</v>
      </c>
      <c r="D27" s="24" t="s">
        <v>2032</v>
      </c>
      <c r="E27" s="24" t="s">
        <v>52</v>
      </c>
      <c r="F27" s="24">
        <v>0</v>
      </c>
      <c r="G27" s="24">
        <v>100</v>
      </c>
      <c r="H27" s="24" t="s">
        <v>2047</v>
      </c>
      <c r="I27" s="24" t="e">
        <f>VLOOKUP(H27,Sheet4!A:B,2,)</f>
        <v>#N/A</v>
      </c>
      <c r="J27" s="43">
        <f>4-4+8-5</f>
        <v>3</v>
      </c>
    </row>
    <row r="28" s="8" customFormat="1" ht="53" customHeight="1" spans="1:10">
      <c r="A28" s="56"/>
      <c r="B28" s="19" t="s">
        <v>2048</v>
      </c>
      <c r="C28" s="20" t="s">
        <v>2031</v>
      </c>
      <c r="D28" s="20" t="s">
        <v>556</v>
      </c>
      <c r="E28" s="20" t="s">
        <v>52</v>
      </c>
      <c r="F28" s="20">
        <v>15</v>
      </c>
      <c r="G28" s="20">
        <v>100.1</v>
      </c>
      <c r="H28" s="20" t="s">
        <v>288</v>
      </c>
      <c r="I28" s="20" t="str">
        <f>VLOOKUP(H28,Sheet4!A:B,2,)</f>
        <v>matte bronze</v>
      </c>
      <c r="J28" s="42">
        <v>4</v>
      </c>
    </row>
    <row r="29" s="8" customFormat="1" ht="53" customHeight="1" spans="1:10">
      <c r="A29" s="22"/>
      <c r="B29" s="23" t="s">
        <v>2049</v>
      </c>
      <c r="C29" s="24" t="s">
        <v>2031</v>
      </c>
      <c r="D29" s="24" t="s">
        <v>556</v>
      </c>
      <c r="E29" s="24" t="s">
        <v>52</v>
      </c>
      <c r="F29" s="24">
        <v>15</v>
      </c>
      <c r="G29" s="24">
        <v>100.1</v>
      </c>
      <c r="H29" s="24" t="s">
        <v>16</v>
      </c>
      <c r="I29" s="24" t="str">
        <f>VLOOKUP(H29,Sheet4!A:B,2,)</f>
        <v>GLOSS BLACK</v>
      </c>
      <c r="J29" s="43">
        <f>8-4+4-4</f>
        <v>4</v>
      </c>
    </row>
    <row r="30" s="8" customFormat="1" ht="48" customHeight="1" spans="1:10">
      <c r="A30" s="56"/>
      <c r="B30" s="53" t="s">
        <v>2050</v>
      </c>
      <c r="C30" s="54" t="s">
        <v>2031</v>
      </c>
      <c r="D30" s="54" t="s">
        <v>878</v>
      </c>
      <c r="E30" s="54" t="s">
        <v>52</v>
      </c>
      <c r="F30" s="54">
        <v>15</v>
      </c>
      <c r="G30" s="54">
        <v>100.1</v>
      </c>
      <c r="H30" s="54" t="s">
        <v>16</v>
      </c>
      <c r="I30" s="54" t="str">
        <f>VLOOKUP(H30,Sheet4!A:B,2,)</f>
        <v>GLOSS BLACK</v>
      </c>
      <c r="J30" s="55">
        <f>8-4-4+4-4+12-4-4-4</f>
        <v>0</v>
      </c>
    </row>
    <row r="31" s="8" customFormat="1" ht="48" customHeight="1" spans="1:10">
      <c r="A31" s="18"/>
      <c r="B31" s="19" t="s">
        <v>2051</v>
      </c>
      <c r="C31" s="20" t="s">
        <v>2031</v>
      </c>
      <c r="D31" s="20" t="s">
        <v>878</v>
      </c>
      <c r="E31" s="20" t="s">
        <v>52</v>
      </c>
      <c r="F31" s="20">
        <v>15</v>
      </c>
      <c r="G31" s="20">
        <v>100.1</v>
      </c>
      <c r="H31" s="20" t="s">
        <v>288</v>
      </c>
      <c r="I31" s="20" t="str">
        <f>VLOOKUP(H31,Sheet4!A:B,2,)</f>
        <v>matte bronze</v>
      </c>
      <c r="J31" s="42">
        <f>8-4-4+8-4-4+8-5</f>
        <v>3</v>
      </c>
    </row>
    <row r="32" s="8" customFormat="1" ht="48" customHeight="1" spans="1:10">
      <c r="A32" s="18"/>
      <c r="B32" s="19" t="s">
        <v>2052</v>
      </c>
      <c r="C32" s="20" t="s">
        <v>2031</v>
      </c>
      <c r="D32" s="20" t="s">
        <v>556</v>
      </c>
      <c r="E32" s="20" t="s">
        <v>52</v>
      </c>
      <c r="F32" s="20">
        <v>15</v>
      </c>
      <c r="G32" s="20">
        <v>100.1</v>
      </c>
      <c r="H32" s="20" t="s">
        <v>288</v>
      </c>
      <c r="I32" s="20" t="str">
        <f>VLOOKUP(H32,Sheet4!A:B,2,)</f>
        <v>matte bronze</v>
      </c>
      <c r="J32" s="42">
        <f>11+1-4+4</f>
        <v>12</v>
      </c>
    </row>
    <row r="33" s="8" customFormat="1" ht="48" customHeight="1" spans="1:10">
      <c r="A33" s="44"/>
      <c r="B33" s="19" t="s">
        <v>2053</v>
      </c>
      <c r="C33" s="20" t="s">
        <v>2031</v>
      </c>
      <c r="D33" s="20" t="s">
        <v>556</v>
      </c>
      <c r="E33" s="20" t="s">
        <v>52</v>
      </c>
      <c r="F33" s="20">
        <v>15</v>
      </c>
      <c r="G33" s="20">
        <v>100.1</v>
      </c>
      <c r="H33" s="20" t="s">
        <v>16</v>
      </c>
      <c r="I33" s="20" t="str">
        <f>VLOOKUP(H33,Sheet4!A:B,2,)</f>
        <v>GLOSS BLACK</v>
      </c>
      <c r="J33" s="42">
        <f>8-4+4-4</f>
        <v>4</v>
      </c>
    </row>
    <row r="34" s="8" customFormat="1" ht="48" customHeight="1" spans="1:10">
      <c r="A34" s="46"/>
      <c r="B34" s="23" t="s">
        <v>2054</v>
      </c>
      <c r="C34" s="24" t="s">
        <v>2031</v>
      </c>
      <c r="D34" s="24" t="s">
        <v>343</v>
      </c>
      <c r="E34" s="24" t="s">
        <v>52</v>
      </c>
      <c r="F34" s="24">
        <v>15</v>
      </c>
      <c r="G34" s="24">
        <v>100.1</v>
      </c>
      <c r="H34" s="24" t="s">
        <v>16</v>
      </c>
      <c r="I34" s="24" t="str">
        <f>VLOOKUP(H34,Sheet4!A:B,2,)</f>
        <v>GLOSS BLACK</v>
      </c>
      <c r="J34" s="43">
        <f>4-4+8-4+4-4-4+8-4-4</f>
        <v>0</v>
      </c>
    </row>
    <row r="35" s="8" customFormat="1" ht="106" customHeight="1" spans="1:10">
      <c r="A35" s="18"/>
      <c r="B35" s="53" t="s">
        <v>2055</v>
      </c>
      <c r="C35" s="54" t="s">
        <v>2031</v>
      </c>
      <c r="D35" s="54" t="s">
        <v>556</v>
      </c>
      <c r="E35" s="54" t="s">
        <v>52</v>
      </c>
      <c r="F35" s="54">
        <v>15</v>
      </c>
      <c r="G35" s="54">
        <v>100.1</v>
      </c>
      <c r="H35" s="54" t="s">
        <v>288</v>
      </c>
      <c r="I35" s="54" t="str">
        <f>VLOOKUP(H35,Sheet4!A:B,2,)</f>
        <v>matte bronze</v>
      </c>
      <c r="J35" s="55">
        <f>4-4+12+4</f>
        <v>16</v>
      </c>
    </row>
    <row r="36" s="8" customFormat="1" ht="106" customHeight="1" spans="1:10">
      <c r="A36" s="22"/>
      <c r="B36" s="23" t="s">
        <v>2056</v>
      </c>
      <c r="C36" s="24" t="s">
        <v>2031</v>
      </c>
      <c r="D36" s="24" t="s">
        <v>556</v>
      </c>
      <c r="E36" s="24" t="s">
        <v>52</v>
      </c>
      <c r="F36" s="24">
        <v>15</v>
      </c>
      <c r="G36" s="24">
        <v>100.1</v>
      </c>
      <c r="H36" s="24" t="s">
        <v>16</v>
      </c>
      <c r="I36" s="24" t="str">
        <f>VLOOKUP(H36,Sheet4!A:B,2,)</f>
        <v>GLOSS BLACK</v>
      </c>
      <c r="J36" s="43">
        <v>4</v>
      </c>
    </row>
    <row r="37" s="7" customFormat="1" ht="57" customHeight="1" spans="1:10">
      <c r="A37" s="33"/>
      <c r="B37" s="19" t="s">
        <v>2057</v>
      </c>
      <c r="C37" s="20" t="s">
        <v>2058</v>
      </c>
      <c r="D37" s="20" t="s">
        <v>58</v>
      </c>
      <c r="E37" s="20" t="s">
        <v>52</v>
      </c>
      <c r="F37" s="20">
        <v>12</v>
      </c>
      <c r="G37" s="19">
        <v>100.1</v>
      </c>
      <c r="H37" s="19" t="s">
        <v>1449</v>
      </c>
      <c r="I37" s="19" t="str">
        <f>VLOOKUP(H37,Sheet4!A:B,2,)</f>
        <v>MATTE GREY</v>
      </c>
      <c r="J37" s="21">
        <f>4-4+8-5</f>
        <v>3</v>
      </c>
    </row>
    <row r="38" s="7" customFormat="1" ht="57" customHeight="1" spans="1:10">
      <c r="A38" s="33"/>
      <c r="B38" s="19" t="s">
        <v>2059</v>
      </c>
      <c r="C38" s="20" t="s">
        <v>2058</v>
      </c>
      <c r="D38" s="20" t="s">
        <v>58</v>
      </c>
      <c r="E38" s="20" t="s">
        <v>52</v>
      </c>
      <c r="F38" s="20">
        <v>12</v>
      </c>
      <c r="G38" s="19">
        <v>100.1</v>
      </c>
      <c r="H38" s="19" t="s">
        <v>159</v>
      </c>
      <c r="I38" s="19" t="str">
        <f>VLOOKUP(H38,Sheet4!A:B,2,)</f>
        <v>MATTE BLACK</v>
      </c>
      <c r="J38" s="21">
        <f>8-4-4+12-4-4-4</f>
        <v>0</v>
      </c>
    </row>
    <row r="39" s="7" customFormat="1" ht="110" customHeight="1" spans="1:10">
      <c r="A39" s="37"/>
      <c r="B39" s="38" t="s">
        <v>2060</v>
      </c>
      <c r="C39" s="39" t="s">
        <v>2058</v>
      </c>
      <c r="D39" s="39" t="s">
        <v>58</v>
      </c>
      <c r="E39" s="39" t="s">
        <v>52</v>
      </c>
      <c r="F39" s="39">
        <v>12</v>
      </c>
      <c r="G39" s="38">
        <v>100.1</v>
      </c>
      <c r="H39" s="38" t="s">
        <v>2061</v>
      </c>
      <c r="I39" s="38" t="e">
        <f>VLOOKUP(H39,Sheet4!A:B,2,)</f>
        <v>#N/A</v>
      </c>
      <c r="J39" s="40">
        <f>12-4-4-4+12-5-4-1</f>
        <v>2</v>
      </c>
    </row>
    <row r="40" s="7" customFormat="1" ht="117" customHeight="1" spans="1:10">
      <c r="A40" s="34"/>
      <c r="B40" s="23" t="s">
        <v>2062</v>
      </c>
      <c r="C40" s="24" t="s">
        <v>2058</v>
      </c>
      <c r="D40" s="24" t="s">
        <v>58</v>
      </c>
      <c r="E40" s="24" t="s">
        <v>52</v>
      </c>
      <c r="F40" s="24">
        <v>12</v>
      </c>
      <c r="G40" s="23">
        <v>100.1</v>
      </c>
      <c r="H40" s="23" t="s">
        <v>790</v>
      </c>
      <c r="I40" s="23" t="str">
        <f>VLOOKUP(H40,Sheet4!A:B,2,)</f>
        <v>MATTE Black Machine Face</v>
      </c>
      <c r="J40" s="25">
        <f>12-4-4-4</f>
        <v>0</v>
      </c>
    </row>
    <row r="41" s="7" customFormat="1" ht="51" customHeight="1" spans="1:10">
      <c r="A41" s="33"/>
      <c r="B41" s="19" t="s">
        <v>2063</v>
      </c>
      <c r="C41" s="20" t="s">
        <v>2058</v>
      </c>
      <c r="D41" s="20" t="s">
        <v>225</v>
      </c>
      <c r="E41" s="20" t="s">
        <v>52</v>
      </c>
      <c r="F41" s="20">
        <v>25</v>
      </c>
      <c r="G41" s="19">
        <v>100.1</v>
      </c>
      <c r="H41" s="19" t="s">
        <v>16</v>
      </c>
      <c r="I41" s="19" t="str">
        <f>VLOOKUP(H41,Sheet4!A:B,2,)</f>
        <v>GLOSS BLACK</v>
      </c>
      <c r="J41" s="21">
        <v>0</v>
      </c>
    </row>
    <row r="42" s="7" customFormat="1" ht="51" customHeight="1" spans="1:10">
      <c r="A42" s="34"/>
      <c r="B42" s="23" t="s">
        <v>2064</v>
      </c>
      <c r="C42" s="24" t="s">
        <v>2058</v>
      </c>
      <c r="D42" s="24" t="s">
        <v>343</v>
      </c>
      <c r="E42" s="24" t="s">
        <v>52</v>
      </c>
      <c r="F42" s="24">
        <v>25</v>
      </c>
      <c r="G42" s="23">
        <v>100.1</v>
      </c>
      <c r="H42" s="23" t="s">
        <v>16</v>
      </c>
      <c r="I42" s="23" t="str">
        <f>VLOOKUP(H42,Sheet4!A:B,2,)</f>
        <v>GLOSS BLACK</v>
      </c>
      <c r="J42" s="25">
        <f>12-4-4-4+4+8-4-4-4+8+4-4</f>
        <v>8</v>
      </c>
    </row>
    <row r="43" s="7" customFormat="1" ht="53" customHeight="1" spans="1:10">
      <c r="A43" s="33"/>
      <c r="B43" s="19" t="s">
        <v>2065</v>
      </c>
      <c r="C43" s="20" t="s">
        <v>2058</v>
      </c>
      <c r="D43" s="20" t="s">
        <v>225</v>
      </c>
      <c r="E43" s="20" t="s">
        <v>52</v>
      </c>
      <c r="F43" s="20">
        <v>25</v>
      </c>
      <c r="G43" s="19">
        <v>100.1</v>
      </c>
      <c r="H43" s="19" t="s">
        <v>16</v>
      </c>
      <c r="I43" s="19" t="str">
        <f>VLOOKUP(H43,Sheet4!A:B,2,)</f>
        <v>GLOSS BLACK</v>
      </c>
      <c r="J43" s="21">
        <f>4+4</f>
        <v>8</v>
      </c>
    </row>
    <row r="44" s="7" customFormat="1" ht="53" customHeight="1" spans="1:10">
      <c r="A44" s="34"/>
      <c r="B44" s="23" t="s">
        <v>2066</v>
      </c>
      <c r="C44" s="24" t="s">
        <v>2058</v>
      </c>
      <c r="D44" s="24" t="s">
        <v>343</v>
      </c>
      <c r="E44" s="24" t="s">
        <v>52</v>
      </c>
      <c r="F44" s="24">
        <v>25</v>
      </c>
      <c r="G44" s="23">
        <v>100.1</v>
      </c>
      <c r="H44" s="23" t="s">
        <v>16</v>
      </c>
      <c r="I44" s="23" t="str">
        <f>VLOOKUP(H44,Sheet4!A:B,2,)</f>
        <v>GLOSS BLACK</v>
      </c>
      <c r="J44" s="25">
        <f>8-4+4-4-4+8-4+4-4-4+12-4-4-4</f>
        <v>0</v>
      </c>
    </row>
    <row r="45" s="7" customFormat="1" ht="25" customHeight="1" spans="1:10">
      <c r="A45" s="57"/>
      <c r="B45" s="19" t="s">
        <v>2067</v>
      </c>
      <c r="C45" s="20" t="s">
        <v>2068</v>
      </c>
      <c r="D45" s="20" t="s">
        <v>225</v>
      </c>
      <c r="E45" s="20" t="s">
        <v>52</v>
      </c>
      <c r="F45" s="20">
        <v>25</v>
      </c>
      <c r="G45" s="20">
        <v>100.1</v>
      </c>
      <c r="H45" s="20" t="s">
        <v>288</v>
      </c>
      <c r="I45" s="20" t="str">
        <f>VLOOKUP(H45,Sheet4!A:B,2,)</f>
        <v>matte bronze</v>
      </c>
      <c r="J45" s="21">
        <f>12-4-4-4+4+4-4+4-4-4</f>
        <v>0</v>
      </c>
    </row>
    <row r="46" s="7" customFormat="1" ht="25" customHeight="1" spans="1:10">
      <c r="A46" s="33"/>
      <c r="B46" s="19" t="s">
        <v>2069</v>
      </c>
      <c r="C46" s="20" t="s">
        <v>2068</v>
      </c>
      <c r="D46" s="20" t="s">
        <v>225</v>
      </c>
      <c r="E46" s="20" t="s">
        <v>52</v>
      </c>
      <c r="F46" s="20">
        <v>25</v>
      </c>
      <c r="G46" s="20">
        <v>100.1</v>
      </c>
      <c r="H46" s="20" t="s">
        <v>159</v>
      </c>
      <c r="I46" s="20" t="str">
        <f>VLOOKUP(H46,Sheet4!A:B,2,)</f>
        <v>MATTE BLACK</v>
      </c>
      <c r="J46" s="21">
        <f>12-4-4-4+13-4-5+8-8+1</f>
        <v>5</v>
      </c>
    </row>
    <row r="47" s="6" customFormat="1" ht="25" customHeight="1" spans="1:10">
      <c r="A47" s="33"/>
      <c r="B47" s="19" t="s">
        <v>2070</v>
      </c>
      <c r="C47" s="20" t="s">
        <v>2068</v>
      </c>
      <c r="D47" s="20" t="s">
        <v>343</v>
      </c>
      <c r="E47" s="20" t="s">
        <v>52</v>
      </c>
      <c r="F47" s="20">
        <v>25</v>
      </c>
      <c r="G47" s="20">
        <v>100.1</v>
      </c>
      <c r="H47" s="20" t="s">
        <v>2071</v>
      </c>
      <c r="I47" s="20" t="e">
        <f>VLOOKUP(H47,Sheet4!A:B,2,)</f>
        <v>#N/A</v>
      </c>
      <c r="J47" s="21">
        <f>8-4-4+4-4+8-4+4-4+8-4-4-4+12-4-4-4+4</f>
        <v>4</v>
      </c>
    </row>
    <row r="48" s="6" customFormat="1" ht="25" customHeight="1" spans="1:10">
      <c r="A48" s="34"/>
      <c r="B48" s="19" t="s">
        <v>2072</v>
      </c>
      <c r="C48" s="20" t="s">
        <v>2068</v>
      </c>
      <c r="D48" s="20" t="s">
        <v>343</v>
      </c>
      <c r="E48" s="20" t="s">
        <v>52</v>
      </c>
      <c r="F48" s="20">
        <v>25</v>
      </c>
      <c r="G48" s="20">
        <v>100.1</v>
      </c>
      <c r="H48" s="20" t="s">
        <v>16</v>
      </c>
      <c r="I48" s="20" t="str">
        <f>VLOOKUP(H48,Sheet4!A:B,2,)</f>
        <v>GLOSS BLACK</v>
      </c>
      <c r="J48" s="21">
        <f>4+4-4+4-4</f>
        <v>4</v>
      </c>
    </row>
    <row r="49" s="6" customFormat="1" ht="25" customHeight="1" spans="1:10">
      <c r="A49" s="34"/>
      <c r="B49" s="23" t="s">
        <v>2072</v>
      </c>
      <c r="C49" s="24" t="s">
        <v>2068</v>
      </c>
      <c r="D49" s="24" t="s">
        <v>343</v>
      </c>
      <c r="E49" s="24" t="s">
        <v>52</v>
      </c>
      <c r="F49" s="24">
        <v>25</v>
      </c>
      <c r="G49" s="24">
        <v>100.1</v>
      </c>
      <c r="H49" s="24" t="s">
        <v>159</v>
      </c>
      <c r="I49" s="24" t="str">
        <f>VLOOKUP(H49,Sheet4!A:B,2,)</f>
        <v>MATTE BLACK</v>
      </c>
      <c r="J49" s="25">
        <v>4</v>
      </c>
    </row>
    <row r="50" ht="37" customHeight="1" spans="1:10">
      <c r="A50" s="58"/>
    </row>
    <row r="51" spans="1:10">
      <c r="A51" s="58"/>
    </row>
    <row r="52" spans="1:10">
      <c r="A52" s="58"/>
    </row>
    <row r="53" spans="1:10">
      <c r="A53" s="58"/>
    </row>
    <row r="54" spans="1:10">
      <c r="A54" s="58"/>
    </row>
    <row r="55" spans="1:10">
      <c r="A55" s="58"/>
    </row>
    <row r="56" spans="1:10">
      <c r="A56" s="58"/>
    </row>
    <row r="57" spans="1:10">
      <c r="A57" s="58"/>
    </row>
    <row r="58" spans="1:10">
      <c r="A58" s="58"/>
    </row>
    <row r="59" spans="1:10">
      <c r="A59" s="58"/>
    </row>
    <row r="60" spans="1:10">
      <c r="A60" s="58"/>
    </row>
    <row r="61" spans="1:10">
      <c r="A61" s="58"/>
    </row>
    <row r="62" spans="1:10">
      <c r="A62" s="58"/>
    </row>
    <row r="63" spans="1:10">
      <c r="A63" s="58"/>
    </row>
    <row r="64" spans="1:10">
      <c r="A64" s="58"/>
    </row>
    <row r="65" spans="1:1">
      <c r="A65" s="58"/>
    </row>
    <row r="66" spans="1:1">
      <c r="A66" s="58"/>
    </row>
    <row r="67" spans="1:1">
      <c r="A67" s="58"/>
    </row>
    <row r="68" spans="1:1">
      <c r="A68" s="58"/>
    </row>
    <row r="69" spans="1:1">
      <c r="A69" s="58"/>
    </row>
    <row r="70" spans="1:1">
      <c r="A70" s="58"/>
    </row>
    <row r="71" spans="1:1">
      <c r="A71" s="58"/>
    </row>
    <row r="72" spans="1:1">
      <c r="A72" s="58"/>
    </row>
    <row r="73" spans="1:1">
      <c r="A73" s="58"/>
    </row>
    <row r="74" spans="1:1">
      <c r="A74" s="58"/>
    </row>
    <row r="75" spans="1:1">
      <c r="A75" s="58"/>
    </row>
    <row r="76" spans="1:1">
      <c r="A76" s="58"/>
    </row>
    <row r="77" spans="1:1">
      <c r="A77" s="58"/>
    </row>
    <row r="78" spans="1:1">
      <c r="A78" s="58"/>
    </row>
    <row r="79" spans="1:1">
      <c r="A79" s="58"/>
    </row>
    <row r="80" spans="1:1">
      <c r="A80" s="58"/>
    </row>
    <row r="81" spans="1:1">
      <c r="A81" s="58"/>
    </row>
    <row r="82" spans="1:1">
      <c r="A82" s="58"/>
    </row>
    <row r="83" spans="1:1">
      <c r="A83" s="58"/>
    </row>
    <row r="84" spans="1:1">
      <c r="A84" s="58"/>
    </row>
    <row r="85" spans="1:1">
      <c r="A85" s="58"/>
    </row>
    <row r="86" spans="1:1">
      <c r="A86" s="58"/>
    </row>
    <row r="87" spans="1:1">
      <c r="A87" s="58"/>
    </row>
    <row r="88" spans="1:1">
      <c r="A88" s="58"/>
    </row>
    <row r="89" spans="1:1">
      <c r="A89" s="58"/>
    </row>
    <row r="90" spans="1:1">
      <c r="A90" s="58"/>
    </row>
    <row r="91" spans="1:1">
      <c r="A91" s="58"/>
    </row>
    <row r="92" spans="1:1">
      <c r="A92" s="58"/>
    </row>
    <row r="93" spans="1:1">
      <c r="A93" s="58"/>
    </row>
    <row r="94" spans="1:1">
      <c r="A94" s="58"/>
    </row>
    <row r="95" spans="1:1">
      <c r="A95" s="58"/>
    </row>
    <row r="96" spans="1:1">
      <c r="A96" s="58"/>
    </row>
    <row r="97" spans="1:1">
      <c r="A97" s="58"/>
    </row>
    <row r="98" spans="1:1">
      <c r="A98" s="58"/>
    </row>
    <row r="99" spans="1:1">
      <c r="A99" s="58"/>
    </row>
    <row r="100" spans="1:1">
      <c r="A100" s="58"/>
    </row>
    <row r="101" spans="1:1">
      <c r="A101" s="58"/>
    </row>
    <row r="102" spans="1:1">
      <c r="A102" s="58"/>
    </row>
    <row r="103" spans="1:1">
      <c r="A103" s="58"/>
    </row>
    <row r="104" spans="1:1">
      <c r="A104" s="58"/>
    </row>
    <row r="105" spans="1:1">
      <c r="A105" s="58"/>
    </row>
    <row r="106" spans="1:1">
      <c r="A106" s="58"/>
    </row>
    <row r="107" spans="1:1">
      <c r="A107" s="58"/>
    </row>
    <row r="108" spans="1:1">
      <c r="A108" s="58"/>
    </row>
    <row r="109" spans="1:1">
      <c r="A109" s="58"/>
    </row>
    <row r="110" spans="1:1">
      <c r="A110" s="58"/>
    </row>
    <row r="111" spans="1:1">
      <c r="A111" s="58"/>
    </row>
    <row r="112" spans="1:1">
      <c r="A112" s="58"/>
    </row>
    <row r="113" spans="1:1">
      <c r="A113" s="58"/>
    </row>
    <row r="114" spans="1:1">
      <c r="A114" s="58"/>
    </row>
    <row r="115" spans="1:1">
      <c r="A115" s="58"/>
    </row>
    <row r="116" spans="1:1">
      <c r="A116" s="58"/>
    </row>
    <row r="117" spans="1:1">
      <c r="A117" s="58"/>
    </row>
    <row r="118" spans="1:1">
      <c r="A118" s="58"/>
    </row>
    <row r="119" spans="1:1">
      <c r="A119" s="58"/>
    </row>
    <row r="120" spans="1:1">
      <c r="A120" s="58"/>
    </row>
    <row r="121" spans="1:1">
      <c r="A121" s="58"/>
    </row>
    <row r="122" spans="1:1">
      <c r="A122" s="58"/>
    </row>
    <row r="123" spans="1:1">
      <c r="A123" s="58"/>
    </row>
    <row r="124" spans="1:1">
      <c r="A124" s="58"/>
    </row>
    <row r="125" spans="1:1">
      <c r="A125" s="58"/>
    </row>
    <row r="126" spans="1:1">
      <c r="A126" s="58"/>
    </row>
    <row r="127" spans="1:1">
      <c r="A127" s="58"/>
    </row>
    <row r="128" spans="1:1">
      <c r="A128" s="58"/>
    </row>
    <row r="129" spans="1:1">
      <c r="A129" s="58"/>
    </row>
    <row r="130" spans="1:1">
      <c r="A130" s="58"/>
    </row>
    <row r="131" spans="1:1">
      <c r="A131" s="58"/>
    </row>
    <row r="132" spans="1:1">
      <c r="A132" s="58"/>
    </row>
    <row r="133" spans="1:1">
      <c r="A133" s="58"/>
    </row>
    <row r="134" spans="1:1">
      <c r="A134" s="58"/>
    </row>
    <row r="135" spans="1:1">
      <c r="A135" s="58"/>
    </row>
    <row r="136" spans="1:1">
      <c r="A136" s="58"/>
    </row>
    <row r="137" spans="1:1">
      <c r="A137" s="58"/>
    </row>
    <row r="138" spans="1:1">
      <c r="A138" s="58"/>
    </row>
    <row r="139" spans="1:1">
      <c r="A139" s="58"/>
    </row>
    <row r="140" spans="1:1">
      <c r="A140" s="58"/>
    </row>
    <row r="141" spans="1:1">
      <c r="A141" s="58"/>
    </row>
    <row r="142" spans="1:1">
      <c r="A142" s="58"/>
    </row>
    <row r="143" spans="1:1">
      <c r="A143" s="58"/>
    </row>
    <row r="144" spans="1:1">
      <c r="A144" s="58"/>
    </row>
    <row r="145" spans="1:10">
      <c r="A145" s="58"/>
    </row>
    <row r="146" spans="1:10">
      <c r="A146" s="58"/>
    </row>
    <row r="147" spans="1:10">
      <c r="A147" s="58"/>
    </row>
    <row r="148" spans="1:10">
      <c r="A148" s="58"/>
    </row>
    <row r="149" spans="1:10">
      <c r="A149" s="58"/>
    </row>
    <row r="150" spans="1:10">
      <c r="A150" s="59"/>
      <c r="B150" s="60"/>
      <c r="C150" s="61"/>
      <c r="D150" s="61"/>
      <c r="E150" s="61"/>
      <c r="F150" s="61"/>
      <c r="G150" s="61"/>
      <c r="H150" s="61"/>
      <c r="I150" s="61"/>
      <c r="J150" s="62"/>
    </row>
  </sheetData>
  <autoFilter xmlns:etc="http://www.wps.cn/officeDocument/2017/etCustomData" ref="A2:J49" etc:filterBottomFollowUsedRange="0">
    <extLst/>
  </autoFilter>
  <mergeCells count="2">
    <mergeCell ref="A33:A34"/>
    <mergeCell ref="A45:A49"/>
  </mergeCells>
  <pageMargins left="0.196527777777778" right="0.15625" top="0.196527777777778" bottom="0.15625" header="0.5" footer="0.275"/>
  <pageSetup paperSize="9" scale="51" orientation="portrait" horizontalDpi="600"/>
  <headerFooter>
    <oddFooter>&amp;C&amp;14&amp;B越野  第 &amp;P 页，共 &amp;N 页</oddFooter>
  </headerFooter>
  <rowBreaks count="2" manualBreakCount="2">
    <brk id="19" max="9" man="1"/>
    <brk id="29" max="9" man="1"/>
  </rowBreaks>
  <ignoredErrors>
    <ignoredError sqref="I5" evalError="1"/>
  </ignoredErrors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2:B146"/>
  <sheetViews>
    <sheetView topLeftCell="A130" workbookViewId="0">
      <selection activeCell="O166" sqref="O166"/>
    </sheetView>
  </sheetViews>
  <sheetFormatPr defaultColWidth="9" defaultRowHeight="13.5" outlineLevelCol="1"/>
  <cols>
    <col min="1" max="1" width="28.75" customWidth="1"/>
    <col min="2" max="2" width="36" customWidth="1"/>
  </cols>
  <sheetData>
    <row r="2" spans="1:2">
      <c r="A2" t="s">
        <v>1902</v>
      </c>
      <c r="B2" t="s">
        <v>2073</v>
      </c>
    </row>
    <row r="3" spans="1:2">
      <c r="A3" t="s">
        <v>1902</v>
      </c>
      <c r="B3" t="s">
        <v>2073</v>
      </c>
    </row>
    <row r="4" spans="1:2">
      <c r="A4" t="s">
        <v>1906</v>
      </c>
      <c r="B4" t="s">
        <v>2073</v>
      </c>
    </row>
    <row r="5" spans="1:2">
      <c r="A5" t="s">
        <v>483</v>
      </c>
      <c r="B5" t="s">
        <v>484</v>
      </c>
    </row>
    <row r="6" spans="1:2">
      <c r="A6" t="s">
        <v>2074</v>
      </c>
      <c r="B6" t="s">
        <v>484</v>
      </c>
    </row>
    <row r="7" spans="1:2">
      <c r="A7" t="s">
        <v>2075</v>
      </c>
      <c r="B7" t="s">
        <v>2076</v>
      </c>
    </row>
    <row r="8" spans="1:2">
      <c r="A8" t="s">
        <v>2077</v>
      </c>
      <c r="B8" t="s">
        <v>2078</v>
      </c>
    </row>
    <row r="9" spans="1:2">
      <c r="A9" t="s">
        <v>59</v>
      </c>
      <c r="B9" t="s">
        <v>2079</v>
      </c>
    </row>
    <row r="10" spans="1:2">
      <c r="A10" t="s">
        <v>718</v>
      </c>
      <c r="B10" t="s">
        <v>2080</v>
      </c>
    </row>
    <row r="11" spans="1:2">
      <c r="A11" t="s">
        <v>14</v>
      </c>
      <c r="B11" t="s">
        <v>48</v>
      </c>
    </row>
    <row r="12" spans="1:2">
      <c r="A12" t="s">
        <v>2081</v>
      </c>
      <c r="B12" t="s">
        <v>2082</v>
      </c>
    </row>
    <row r="13" spans="1:2">
      <c r="A13" t="s">
        <v>2083</v>
      </c>
      <c r="B13" t="s">
        <v>2082</v>
      </c>
    </row>
    <row r="14" spans="1:2">
      <c r="A14" t="s">
        <v>2084</v>
      </c>
      <c r="B14" t="s">
        <v>2082</v>
      </c>
    </row>
    <row r="15" spans="1:2">
      <c r="A15" t="s">
        <v>2085</v>
      </c>
      <c r="B15" t="s">
        <v>2082</v>
      </c>
    </row>
    <row r="16" spans="1:2">
      <c r="A16" t="s">
        <v>1135</v>
      </c>
      <c r="B16" t="s">
        <v>2086</v>
      </c>
    </row>
    <row r="17" spans="1:2">
      <c r="A17" t="s">
        <v>36</v>
      </c>
      <c r="B17" t="s">
        <v>280</v>
      </c>
    </row>
    <row r="18" spans="1:2">
      <c r="A18" t="s">
        <v>2087</v>
      </c>
      <c r="B18" t="s">
        <v>2088</v>
      </c>
    </row>
    <row r="19" spans="1:2">
      <c r="A19" t="s">
        <v>2089</v>
      </c>
      <c r="B19" t="s">
        <v>2090</v>
      </c>
    </row>
    <row r="20" spans="1:2">
      <c r="A20" t="s">
        <v>2091</v>
      </c>
      <c r="B20" t="s">
        <v>2088</v>
      </c>
    </row>
    <row r="21" spans="1:2">
      <c r="A21" t="s">
        <v>2092</v>
      </c>
      <c r="B21" t="s">
        <v>2093</v>
      </c>
    </row>
    <row r="22" spans="1:2">
      <c r="A22" t="s">
        <v>2094</v>
      </c>
      <c r="B22" t="s">
        <v>2093</v>
      </c>
    </row>
    <row r="23" spans="1:2">
      <c r="A23" t="s">
        <v>322</v>
      </c>
      <c r="B23" t="s">
        <v>2095</v>
      </c>
    </row>
    <row r="24" spans="1:2">
      <c r="A24" t="s">
        <v>1412</v>
      </c>
      <c r="B24" t="s">
        <v>2096</v>
      </c>
    </row>
    <row r="25" spans="1:2">
      <c r="A25" t="s">
        <v>330</v>
      </c>
      <c r="B25" t="s">
        <v>2097</v>
      </c>
    </row>
    <row r="26" spans="1:2">
      <c r="A26" t="s">
        <v>53</v>
      </c>
      <c r="B26" t="s">
        <v>272</v>
      </c>
    </row>
    <row r="27" spans="1:2">
      <c r="A27" t="s">
        <v>2098</v>
      </c>
      <c r="B27" t="s">
        <v>2099</v>
      </c>
    </row>
    <row r="28" spans="1:2">
      <c r="A28" t="s">
        <v>2100</v>
      </c>
      <c r="B28" t="s">
        <v>2101</v>
      </c>
    </row>
    <row r="29" spans="1:2">
      <c r="A29" t="s">
        <v>2102</v>
      </c>
      <c r="B29" t="s">
        <v>2101</v>
      </c>
    </row>
    <row r="30" spans="1:2">
      <c r="A30" t="s">
        <v>2103</v>
      </c>
      <c r="B30" t="s">
        <v>2101</v>
      </c>
    </row>
    <row r="31" spans="1:2">
      <c r="A31" t="s">
        <v>2104</v>
      </c>
      <c r="B31" t="s">
        <v>1875</v>
      </c>
    </row>
    <row r="32" spans="1:2">
      <c r="A32" t="s">
        <v>1060</v>
      </c>
      <c r="B32" t="s">
        <v>2105</v>
      </c>
    </row>
    <row r="33" spans="1:2">
      <c r="A33" t="s">
        <v>355</v>
      </c>
      <c r="B33" t="s">
        <v>2106</v>
      </c>
    </row>
    <row r="34" spans="1:2">
      <c r="A34" t="s">
        <v>2107</v>
      </c>
      <c r="B34" t="s">
        <v>2108</v>
      </c>
    </row>
    <row r="35" spans="1:2">
      <c r="A35" t="s">
        <v>2109</v>
      </c>
      <c r="B35" t="s">
        <v>2110</v>
      </c>
    </row>
    <row r="36" spans="1:2">
      <c r="A36" t="s">
        <v>2111</v>
      </c>
      <c r="B36" t="s">
        <v>2112</v>
      </c>
    </row>
    <row r="37" spans="1:2">
      <c r="A37" t="s">
        <v>1122</v>
      </c>
      <c r="B37" t="s">
        <v>2086</v>
      </c>
    </row>
    <row r="38" spans="1:2">
      <c r="A38" t="s">
        <v>830</v>
      </c>
      <c r="B38" t="s">
        <v>2113</v>
      </c>
    </row>
    <row r="39" spans="1:2">
      <c r="A39" t="s">
        <v>2114</v>
      </c>
      <c r="B39" t="s">
        <v>2115</v>
      </c>
    </row>
    <row r="40" spans="1:2">
      <c r="A40" t="s">
        <v>21</v>
      </c>
      <c r="B40" t="s">
        <v>280</v>
      </c>
    </row>
    <row r="41" spans="1:2">
      <c r="A41" t="s">
        <v>2116</v>
      </c>
      <c r="B41" t="s">
        <v>2117</v>
      </c>
    </row>
    <row r="42" spans="1:2">
      <c r="A42" t="s">
        <v>2118</v>
      </c>
      <c r="B42" t="s">
        <v>2119</v>
      </c>
    </row>
    <row r="43" spans="1:2">
      <c r="A43" t="s">
        <v>2120</v>
      </c>
      <c r="B43" t="s">
        <v>2119</v>
      </c>
    </row>
    <row r="44" spans="1:2">
      <c r="A44" t="s">
        <v>2121</v>
      </c>
      <c r="B44" t="s">
        <v>2119</v>
      </c>
    </row>
    <row r="45" spans="1:2">
      <c r="A45" t="s">
        <v>2122</v>
      </c>
      <c r="B45" t="s">
        <v>2119</v>
      </c>
    </row>
    <row r="46" spans="1:2">
      <c r="A46" t="s">
        <v>2123</v>
      </c>
      <c r="B46" t="s">
        <v>2124</v>
      </c>
    </row>
    <row r="47" spans="1:2">
      <c r="A47" t="s">
        <v>424</v>
      </c>
      <c r="B47" t="s">
        <v>2088</v>
      </c>
    </row>
    <row r="48" spans="1:2">
      <c r="A48" t="s">
        <v>2125</v>
      </c>
      <c r="B48" t="s">
        <v>2090</v>
      </c>
    </row>
    <row r="49" spans="1:2">
      <c r="A49" t="s">
        <v>2126</v>
      </c>
      <c r="B49" t="s">
        <v>2119</v>
      </c>
    </row>
    <row r="50" spans="1:2">
      <c r="A50" t="s">
        <v>2127</v>
      </c>
      <c r="B50" t="s">
        <v>2119</v>
      </c>
    </row>
    <row r="51" spans="1:2">
      <c r="A51" t="s">
        <v>2128</v>
      </c>
      <c r="B51" t="s">
        <v>2124</v>
      </c>
    </row>
    <row r="52" spans="1:2">
      <c r="A52" t="s">
        <v>1355</v>
      </c>
      <c r="B52" t="s">
        <v>2129</v>
      </c>
    </row>
    <row r="53" spans="1:2">
      <c r="A53" t="s">
        <v>2130</v>
      </c>
      <c r="B53" t="s">
        <v>2131</v>
      </c>
    </row>
    <row r="54" spans="1:2">
      <c r="A54" t="s">
        <v>2132</v>
      </c>
      <c r="B54" t="s">
        <v>2133</v>
      </c>
    </row>
    <row r="55" s="1" customFormat="1" spans="1:2">
      <c r="A55" s="1" t="s">
        <v>26</v>
      </c>
      <c r="B55" s="1" t="s">
        <v>2082</v>
      </c>
    </row>
    <row r="56" spans="1:2">
      <c r="A56" t="s">
        <v>2134</v>
      </c>
      <c r="B56" t="s">
        <v>2082</v>
      </c>
    </row>
    <row r="57" spans="1:2">
      <c r="A57" t="s">
        <v>2135</v>
      </c>
      <c r="B57" t="s">
        <v>2082</v>
      </c>
    </row>
    <row r="58" spans="1:2">
      <c r="A58" t="s">
        <v>2136</v>
      </c>
      <c r="B58" t="s">
        <v>2110</v>
      </c>
    </row>
    <row r="59" spans="1:2">
      <c r="A59" t="s">
        <v>2137</v>
      </c>
      <c r="B59" t="s">
        <v>2110</v>
      </c>
    </row>
    <row r="60" spans="1:2">
      <c r="A60" t="s">
        <v>274</v>
      </c>
      <c r="B60" t="s">
        <v>2082</v>
      </c>
    </row>
    <row r="61" spans="1:2">
      <c r="A61" t="s">
        <v>2138</v>
      </c>
      <c r="B61" t="s">
        <v>2082</v>
      </c>
    </row>
    <row r="62" spans="1:2">
      <c r="A62" t="s">
        <v>271</v>
      </c>
      <c r="B62" t="s">
        <v>2082</v>
      </c>
    </row>
    <row r="63" spans="1:2">
      <c r="A63" t="s">
        <v>16</v>
      </c>
      <c r="B63" t="s">
        <v>527</v>
      </c>
    </row>
    <row r="64" spans="1:2">
      <c r="A64" t="s">
        <v>2139</v>
      </c>
      <c r="B64" t="s">
        <v>2096</v>
      </c>
    </row>
    <row r="65" spans="1:2">
      <c r="A65" t="s">
        <v>2140</v>
      </c>
      <c r="B65" t="s">
        <v>2141</v>
      </c>
    </row>
    <row r="66" spans="1:2">
      <c r="A66" t="s">
        <v>2142</v>
      </c>
      <c r="B66" t="s">
        <v>2141</v>
      </c>
    </row>
    <row r="67" spans="1:2">
      <c r="A67" t="s">
        <v>2143</v>
      </c>
      <c r="B67" t="s">
        <v>2144</v>
      </c>
    </row>
    <row r="68" spans="1:2">
      <c r="A68" t="s">
        <v>2145</v>
      </c>
      <c r="B68" t="s">
        <v>2141</v>
      </c>
    </row>
    <row r="69" spans="1:2">
      <c r="A69" t="s">
        <v>2146</v>
      </c>
      <c r="B69" t="s">
        <v>2141</v>
      </c>
    </row>
    <row r="70" spans="1:2">
      <c r="A70" t="s">
        <v>1552</v>
      </c>
      <c r="B70" t="s">
        <v>2147</v>
      </c>
    </row>
    <row r="71" spans="1:2">
      <c r="A71" t="s">
        <v>268</v>
      </c>
      <c r="B71" t="s">
        <v>2148</v>
      </c>
    </row>
    <row r="72" spans="1:2">
      <c r="A72" t="s">
        <v>2149</v>
      </c>
      <c r="B72" s="1" t="s">
        <v>2150</v>
      </c>
    </row>
    <row r="73" spans="1:2">
      <c r="A73" t="s">
        <v>1521</v>
      </c>
      <c r="B73" s="1" t="s">
        <v>2151</v>
      </c>
    </row>
    <row r="74" spans="1:2">
      <c r="A74" t="s">
        <v>560</v>
      </c>
      <c r="B74" t="s">
        <v>2152</v>
      </c>
    </row>
    <row r="75" spans="1:2">
      <c r="A75" t="s">
        <v>2153</v>
      </c>
      <c r="B75" t="s">
        <v>2152</v>
      </c>
    </row>
    <row r="76" spans="1:2">
      <c r="A76" t="s">
        <v>197</v>
      </c>
      <c r="B76" t="s">
        <v>272</v>
      </c>
    </row>
    <row r="77" spans="1:2">
      <c r="A77" t="s">
        <v>2154</v>
      </c>
      <c r="B77">
        <v>0</v>
      </c>
    </row>
    <row r="78" spans="1:2">
      <c r="A78" t="s">
        <v>2155</v>
      </c>
      <c r="B78" t="s">
        <v>2076</v>
      </c>
    </row>
    <row r="79" spans="1:2">
      <c r="A79" t="s">
        <v>2156</v>
      </c>
      <c r="B79" t="s">
        <v>2076</v>
      </c>
    </row>
    <row r="80" spans="1:2">
      <c r="A80" t="s">
        <v>87</v>
      </c>
      <c r="B80" t="s">
        <v>2076</v>
      </c>
    </row>
    <row r="81" spans="1:2">
      <c r="A81" t="s">
        <v>2157</v>
      </c>
      <c r="B81" t="s">
        <v>2158</v>
      </c>
    </row>
    <row r="82" spans="1:2">
      <c r="A82" t="s">
        <v>324</v>
      </c>
      <c r="B82" t="s">
        <v>2159</v>
      </c>
    </row>
    <row r="83" spans="1:2">
      <c r="A83" t="s">
        <v>69</v>
      </c>
      <c r="B83" t="s">
        <v>2160</v>
      </c>
    </row>
    <row r="84" spans="1:2">
      <c r="A84" t="s">
        <v>2161</v>
      </c>
      <c r="B84" t="s">
        <v>484</v>
      </c>
    </row>
    <row r="85" spans="1:2">
      <c r="A85" t="s">
        <v>2162</v>
      </c>
      <c r="B85" t="s">
        <v>2076</v>
      </c>
    </row>
    <row r="86" spans="1:2">
      <c r="A86" t="s">
        <v>439</v>
      </c>
      <c r="B86" t="s">
        <v>2076</v>
      </c>
    </row>
    <row r="87" spans="1:2">
      <c r="A87" t="s">
        <v>2163</v>
      </c>
      <c r="B87" t="s">
        <v>2076</v>
      </c>
    </row>
    <row r="88" spans="1:2">
      <c r="A88" t="s">
        <v>2164</v>
      </c>
      <c r="B88" t="s">
        <v>2076</v>
      </c>
    </row>
    <row r="89" spans="1:2">
      <c r="A89" t="s">
        <v>1325</v>
      </c>
      <c r="B89" t="s">
        <v>2165</v>
      </c>
    </row>
    <row r="90" spans="1:2">
      <c r="A90" t="s">
        <v>694</v>
      </c>
      <c r="B90" t="s">
        <v>2166</v>
      </c>
    </row>
    <row r="91" spans="1:2">
      <c r="A91" t="s">
        <v>2167</v>
      </c>
      <c r="B91" t="s">
        <v>2076</v>
      </c>
    </row>
    <row r="92" spans="1:2">
      <c r="A92" s="1" t="s">
        <v>1596</v>
      </c>
      <c r="B92" s="1" t="s">
        <v>311</v>
      </c>
    </row>
    <row r="93" spans="1:2">
      <c r="A93" s="1" t="s">
        <v>2168</v>
      </c>
      <c r="B93" s="1" t="s">
        <v>2169</v>
      </c>
    </row>
    <row r="94" spans="1:2">
      <c r="A94" s="1" t="s">
        <v>2170</v>
      </c>
      <c r="B94" s="1" t="s">
        <v>2171</v>
      </c>
    </row>
    <row r="95" spans="1:2">
      <c r="A95" t="s">
        <v>2172</v>
      </c>
      <c r="B95" t="s">
        <v>311</v>
      </c>
    </row>
    <row r="96" spans="1:2">
      <c r="A96" t="s">
        <v>2173</v>
      </c>
      <c r="B96" t="s">
        <v>2169</v>
      </c>
    </row>
    <row r="97" spans="1:2">
      <c r="A97" t="s">
        <v>2174</v>
      </c>
      <c r="B97" t="s">
        <v>311</v>
      </c>
    </row>
    <row r="98" spans="1:2">
      <c r="A98" t="s">
        <v>1449</v>
      </c>
      <c r="B98" t="s">
        <v>311</v>
      </c>
    </row>
    <row r="99" spans="1:2">
      <c r="A99" t="s">
        <v>288</v>
      </c>
      <c r="B99" t="s">
        <v>2175</v>
      </c>
    </row>
    <row r="100" spans="1:2">
      <c r="A100" t="s">
        <v>2176</v>
      </c>
      <c r="B100" t="s">
        <v>2177</v>
      </c>
    </row>
    <row r="101" spans="1:2">
      <c r="A101" t="s">
        <v>1644</v>
      </c>
      <c r="B101" t="s">
        <v>2178</v>
      </c>
    </row>
    <row r="102" spans="1:2">
      <c r="A102" t="s">
        <v>441</v>
      </c>
      <c r="B102" t="s">
        <v>2179</v>
      </c>
    </row>
    <row r="103" spans="1:2">
      <c r="A103" t="s">
        <v>317</v>
      </c>
      <c r="B103" t="s">
        <v>311</v>
      </c>
    </row>
    <row r="104" spans="1:2">
      <c r="A104" s="1" t="s">
        <v>2180</v>
      </c>
      <c r="B104" s="1" t="s">
        <v>311</v>
      </c>
    </row>
    <row r="105" spans="1:2">
      <c r="A105" s="1" t="s">
        <v>2181</v>
      </c>
      <c r="B105" s="1" t="s">
        <v>311</v>
      </c>
    </row>
    <row r="106" s="2" customFormat="1" spans="1:2">
      <c r="A106" s="2" t="s">
        <v>2182</v>
      </c>
      <c r="B106" s="2" t="s">
        <v>2183</v>
      </c>
    </row>
    <row r="107" spans="1:2">
      <c r="A107" t="s">
        <v>2184</v>
      </c>
      <c r="B107" t="s">
        <v>311</v>
      </c>
    </row>
    <row r="108" spans="1:2">
      <c r="A108" s="3" t="s">
        <v>393</v>
      </c>
      <c r="B108" s="3" t="s">
        <v>2171</v>
      </c>
    </row>
    <row r="109" spans="1:2">
      <c r="A109" t="s">
        <v>2185</v>
      </c>
      <c r="B109" t="s">
        <v>311</v>
      </c>
    </row>
    <row r="110" spans="1:2">
      <c r="A110" s="3" t="s">
        <v>391</v>
      </c>
      <c r="B110" s="3" t="s">
        <v>311</v>
      </c>
    </row>
    <row r="111" spans="1:2">
      <c r="A111" s="1" t="s">
        <v>2186</v>
      </c>
      <c r="B111" s="1" t="s">
        <v>311</v>
      </c>
    </row>
    <row r="112" spans="1:2">
      <c r="A112" t="s">
        <v>2023</v>
      </c>
      <c r="B112" t="s">
        <v>484</v>
      </c>
    </row>
    <row r="113" spans="1:2">
      <c r="A113" t="s">
        <v>1095</v>
      </c>
      <c r="B113" t="s">
        <v>2187</v>
      </c>
    </row>
    <row r="114" spans="1:2">
      <c r="A114" t="s">
        <v>790</v>
      </c>
      <c r="B114" t="s">
        <v>2188</v>
      </c>
    </row>
    <row r="115" spans="1:2">
      <c r="A115" t="s">
        <v>1093</v>
      </c>
      <c r="B115" t="s">
        <v>2189</v>
      </c>
    </row>
    <row r="116" spans="1:2">
      <c r="A116" t="s">
        <v>2190</v>
      </c>
      <c r="B116" t="s">
        <v>484</v>
      </c>
    </row>
    <row r="117" spans="1:2">
      <c r="A117" t="s">
        <v>2191</v>
      </c>
      <c r="B117" t="s">
        <v>484</v>
      </c>
    </row>
    <row r="118" spans="1:2">
      <c r="A118" t="s">
        <v>159</v>
      </c>
      <c r="B118" t="s">
        <v>484</v>
      </c>
    </row>
    <row r="119" spans="1:2">
      <c r="A119" t="s">
        <v>2192</v>
      </c>
      <c r="B119" t="s">
        <v>484</v>
      </c>
    </row>
    <row r="120" spans="1:2">
      <c r="A120" t="s">
        <v>2193</v>
      </c>
      <c r="B120" t="s">
        <v>484</v>
      </c>
    </row>
    <row r="121" spans="1:2">
      <c r="A121" t="s">
        <v>2194</v>
      </c>
      <c r="B121" t="s">
        <v>484</v>
      </c>
    </row>
    <row r="122" spans="1:2">
      <c r="A122" t="s">
        <v>2195</v>
      </c>
      <c r="B122" t="s">
        <v>484</v>
      </c>
    </row>
    <row r="123" spans="1:2">
      <c r="A123" t="s">
        <v>2196</v>
      </c>
      <c r="B123" t="s">
        <v>484</v>
      </c>
    </row>
    <row r="124" spans="1:2">
      <c r="A124" t="s">
        <v>2197</v>
      </c>
      <c r="B124" t="s">
        <v>484</v>
      </c>
    </row>
    <row r="125" spans="1:2">
      <c r="A125" t="s">
        <v>1519</v>
      </c>
      <c r="B125" t="s">
        <v>2198</v>
      </c>
    </row>
    <row r="126" spans="1:2">
      <c r="A126" t="s">
        <v>2199</v>
      </c>
      <c r="B126" t="s">
        <v>484</v>
      </c>
    </row>
    <row r="127" spans="1:2">
      <c r="A127" t="s">
        <v>2200</v>
      </c>
      <c r="B127" t="s">
        <v>2188</v>
      </c>
    </row>
    <row r="128" spans="1:2">
      <c r="A128" t="s">
        <v>637</v>
      </c>
      <c r="B128" t="s">
        <v>2187</v>
      </c>
    </row>
    <row r="129" spans="1:2">
      <c r="A129" t="s">
        <v>2201</v>
      </c>
      <c r="B129" t="s">
        <v>2202</v>
      </c>
    </row>
    <row r="130" spans="1:2">
      <c r="A130" t="s">
        <v>2203</v>
      </c>
      <c r="B130" t="s">
        <v>2204</v>
      </c>
    </row>
    <row r="131" spans="1:2">
      <c r="A131" t="s">
        <v>2205</v>
      </c>
      <c r="B131" t="s">
        <v>2206</v>
      </c>
    </row>
    <row r="132" spans="1:2">
      <c r="A132" t="s">
        <v>102</v>
      </c>
      <c r="B132" t="s">
        <v>484</v>
      </c>
    </row>
    <row r="133" spans="1:2">
      <c r="A133" t="s">
        <v>2207</v>
      </c>
      <c r="B133" t="s">
        <v>484</v>
      </c>
    </row>
    <row r="134" spans="1:2">
      <c r="A134" t="s">
        <v>826</v>
      </c>
      <c r="B134" t="s">
        <v>2076</v>
      </c>
    </row>
    <row r="135" spans="1:2">
      <c r="A135" t="s">
        <v>513</v>
      </c>
      <c r="B135" t="s">
        <v>2208</v>
      </c>
    </row>
    <row r="136" spans="1:2">
      <c r="A136" t="s">
        <v>2209</v>
      </c>
      <c r="B136" t="s">
        <v>2208</v>
      </c>
    </row>
    <row r="137" spans="1:2">
      <c r="A137" t="s">
        <v>2210</v>
      </c>
      <c r="B137" t="s">
        <v>2208</v>
      </c>
    </row>
    <row r="138" spans="1:2">
      <c r="A138" t="s">
        <v>918</v>
      </c>
      <c r="B138" t="s">
        <v>2211</v>
      </c>
    </row>
    <row r="139" spans="1:2">
      <c r="A139" t="s">
        <v>2212</v>
      </c>
      <c r="B139" t="s">
        <v>272</v>
      </c>
    </row>
    <row r="140" ht="16.5" spans="1:2">
      <c r="A140" t="s">
        <v>156</v>
      </c>
      <c r="B140" s="4" t="s">
        <v>2213</v>
      </c>
    </row>
    <row r="141" ht="16.5" spans="1:2">
      <c r="A141" t="s">
        <v>238</v>
      </c>
      <c r="B141" s="4" t="s">
        <v>2214</v>
      </c>
    </row>
    <row r="142" ht="16.5" spans="1:2">
      <c r="A142" t="s">
        <v>67</v>
      </c>
      <c r="B142" s="4" t="s">
        <v>2215</v>
      </c>
    </row>
    <row r="143" ht="16.5" spans="1:2">
      <c r="A143" t="s">
        <v>359</v>
      </c>
      <c r="B143" s="4" t="s">
        <v>618</v>
      </c>
    </row>
    <row r="144" spans="1:2">
      <c r="A144" t="s">
        <v>347</v>
      </c>
      <c r="B144" t="s">
        <v>2216</v>
      </c>
    </row>
    <row r="145" spans="1:2">
      <c r="A145" t="s">
        <v>1462</v>
      </c>
      <c r="B145" t="s">
        <v>1463</v>
      </c>
    </row>
    <row r="146" spans="1:2">
      <c r="A146" t="s">
        <v>835</v>
      </c>
      <c r="B146" t="s">
        <v>2217</v>
      </c>
    </row>
  </sheetData>
  <pageMargins left="0.75" right="0.75" top="1" bottom="1" header="0.5" footer="0.5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17</vt:i4>
      </vt:variant>
    </vt:vector>
  </HeadingPairs>
  <TitlesOfParts>
    <vt:vector size="17" baseType="lpstr">
      <vt:lpstr>日系丨 传祺丨沃尔沃丨林肯丨福特丨别克丨红旗丨大众</vt:lpstr>
      <vt:lpstr>新能源 岚图腾势魏派小米极氪理想蔚莱特斯拉</vt:lpstr>
      <vt:lpstr>问界</vt:lpstr>
      <vt:lpstr>改装款</vt:lpstr>
      <vt:lpstr>宝马</vt:lpstr>
      <vt:lpstr>奔驰</vt:lpstr>
      <vt:lpstr>奥迪</vt:lpstr>
      <vt:lpstr>保时捷</vt:lpstr>
      <vt:lpstr>路虎</vt:lpstr>
      <vt:lpstr>玛莎拉蒂</vt:lpstr>
      <vt:lpstr>凯迪拉克</vt:lpstr>
      <vt:lpstr>捷豹</vt:lpstr>
      <vt:lpstr>法拉利</vt:lpstr>
      <vt:lpstr>宾利</vt:lpstr>
      <vt:lpstr>劳斯莱斯</vt:lpstr>
      <vt:lpstr>越野</vt:lpstr>
      <vt:lpstr>Sheet4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pc</dc:creator>
  <cp:lastModifiedBy>Administrator</cp:lastModifiedBy>
  <dcterms:created xsi:type="dcterms:W3CDTF">2016-12-17T04:36:00Z</dcterms:created>
  <dcterms:modified xsi:type="dcterms:W3CDTF">2026-08-07T02:13:46Z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2052-12.1.0.28043</vt:lpwstr>
  </property>
  <property fmtid="{D5CDD505-2E9C-101B-9397-08002B2CF9AE}" pid="3" name="ICV">
    <vt:lpwstr>C4CC655A84134C3CB4F2B902EA237FF6_13</vt:lpwstr>
  </property>
  <property fmtid="{D5CDD505-2E9C-101B-9397-08002B2CF9AE}" pid="4" name="CalculationRule">
    <vt:i4>0</vt:i4>
  </property>
</Properties>
</file>